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emoys\Documents\Taxes\Tax Optimization Analysis\"/>
    </mc:Choice>
  </mc:AlternateContent>
  <xr:revisionPtr revIDLastSave="0" documentId="13_ncr:1_{2A892451-BF35-441B-A00F-8B60EB044725}" xr6:coauthVersionLast="47" xr6:coauthVersionMax="47" xr10:uidLastSave="{00000000-0000-0000-0000-000000000000}"/>
  <bookViews>
    <workbookView xWindow="-110" yWindow="-110" windowWidth="19420" windowHeight="11500" tabRatio="817" activeTab="2" xr2:uid="{00000000-000D-0000-FFFF-FFFF00000000}"/>
  </bookViews>
  <sheets>
    <sheet name="Inputs" sheetId="1" r:id="rId1"/>
    <sheet name="Calculations" sheetId="2" r:id="rId2"/>
    <sheet name="Comparison Summary" sheetId="3" r:id="rId3"/>
    <sheet name="CPI Table" sheetId="4" r:id="rId4"/>
    <sheet name="Tax Brackets" sheetId="5" r:id="rId5"/>
    <sheet name="Optimisation Strategies" sheetId="6" r:id="rId6"/>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C14" i="2" l="1"/>
  <c r="B14" i="2"/>
  <c r="C67" i="2"/>
  <c r="C66" i="2"/>
  <c r="A2" i="3"/>
  <c r="B12" i="3"/>
  <c r="C63" i="2"/>
  <c r="B63" i="2"/>
  <c r="C62" i="2"/>
  <c r="B62" i="2"/>
  <c r="C60" i="2"/>
  <c r="B60" i="2"/>
  <c r="C43" i="2"/>
  <c r="B43" i="2"/>
  <c r="C36" i="2"/>
  <c r="B36" i="2"/>
  <c r="C35" i="2"/>
  <c r="B35" i="2"/>
  <c r="C34" i="2"/>
  <c r="B34" i="2"/>
  <c r="C26" i="2"/>
  <c r="B26" i="2"/>
  <c r="C24" i="2"/>
  <c r="B24" i="2"/>
  <c r="C23" i="2"/>
  <c r="B23" i="2"/>
  <c r="C22" i="2"/>
  <c r="B22" i="2"/>
  <c r="C21" i="2"/>
  <c r="B21" i="2"/>
  <c r="C20" i="2"/>
  <c r="B20" i="2"/>
  <c r="C19" i="2"/>
  <c r="B19" i="2"/>
  <c r="C16" i="2"/>
  <c r="B16" i="2"/>
  <c r="C15" i="2"/>
  <c r="B15" i="2"/>
  <c r="C13" i="2"/>
  <c r="B13" i="2"/>
  <c r="C12" i="2"/>
  <c r="B12" i="2"/>
  <c r="C11" i="2"/>
  <c r="B11" i="2"/>
  <c r="C10" i="2"/>
  <c r="B10" i="2"/>
  <c r="C9" i="2"/>
  <c r="B9" i="2"/>
  <c r="C7" i="2"/>
  <c r="B7" i="2"/>
  <c r="C5" i="2"/>
  <c r="B5" i="2"/>
  <c r="C8" i="2"/>
  <c r="B14" i="1"/>
  <c r="C6" i="2" s="1"/>
  <c r="C18" i="5"/>
  <c r="C19" i="5" s="1"/>
  <c r="E15" i="5"/>
  <c r="E14" i="5"/>
  <c r="C14" i="5"/>
  <c r="C15" i="5" s="1"/>
  <c r="F9" i="5"/>
  <c r="D9" i="5"/>
  <c r="F8" i="5"/>
  <c r="D8" i="5"/>
  <c r="F7" i="5"/>
  <c r="E18" i="5" s="1"/>
  <c r="E19" i="5" s="1"/>
  <c r="D7" i="5"/>
  <c r="C68" i="2" l="1"/>
  <c r="C69" i="2" s="1"/>
  <c r="B25" i="2"/>
  <c r="B27" i="2" s="1"/>
  <c r="B44" i="2"/>
  <c r="B45" i="2" s="1"/>
  <c r="B11" i="3" s="1"/>
  <c r="C44" i="2"/>
  <c r="C45" i="2" s="1"/>
  <c r="C11" i="3" s="1"/>
  <c r="B6" i="2"/>
  <c r="B8" i="2"/>
  <c r="C25" i="2" l="1"/>
  <c r="C27" i="2" s="1"/>
  <c r="C72" i="2"/>
  <c r="C53" i="2"/>
  <c r="B53" i="2"/>
  <c r="D11" i="3"/>
  <c r="C17" i="2" l="1"/>
  <c r="B17" i="2"/>
  <c r="B29" i="2" l="1"/>
  <c r="B5" i="3" s="1"/>
  <c r="B4" i="3"/>
  <c r="C29" i="2"/>
  <c r="C4" i="3"/>
  <c r="C31" i="2" l="1"/>
  <c r="C47" i="2" s="1"/>
  <c r="C39" i="2"/>
  <c r="C9" i="3" s="1"/>
  <c r="C79" i="2"/>
  <c r="C80" i="2" s="1"/>
  <c r="C81" i="2" s="1"/>
  <c r="C56" i="2"/>
  <c r="B39" i="2"/>
  <c r="B9" i="3" s="1"/>
  <c r="B56" i="2"/>
  <c r="C40" i="2"/>
  <c r="C52" i="2" s="1"/>
  <c r="B31" i="2"/>
  <c r="B6" i="3" s="1"/>
  <c r="B40" i="2"/>
  <c r="B52" i="2" s="1"/>
  <c r="C5" i="3"/>
  <c r="D5" i="3" s="1"/>
  <c r="B33" i="2"/>
  <c r="B37" i="2" s="1"/>
  <c r="B48" i="2" s="1"/>
  <c r="C33" i="2"/>
  <c r="C37" i="2" s="1"/>
  <c r="C7" i="3" s="1"/>
  <c r="D4" i="3"/>
  <c r="C6" i="3" l="1"/>
  <c r="D6" i="3" s="1"/>
  <c r="C51" i="2"/>
  <c r="B51" i="2"/>
  <c r="C41" i="2"/>
  <c r="B47" i="2"/>
  <c r="B50" i="2" s="1"/>
  <c r="C10" i="3"/>
  <c r="C48" i="2"/>
  <c r="C49" i="2" s="1"/>
  <c r="B7" i="3"/>
  <c r="D7" i="3" s="1"/>
  <c r="B41" i="2"/>
  <c r="B10" i="3"/>
  <c r="D9" i="3"/>
  <c r="C83" i="2" l="1"/>
  <c r="C84" i="2" s="1"/>
  <c r="C85" i="2" s="1"/>
  <c r="C73" i="2"/>
  <c r="C74" i="2" s="1"/>
  <c r="C12" i="3" s="1"/>
  <c r="D12" i="3" s="1"/>
  <c r="C50" i="2"/>
  <c r="B49" i="2"/>
  <c r="B54" i="2" s="1"/>
  <c r="D10" i="3"/>
  <c r="C8" i="3"/>
  <c r="C54" i="2" l="1"/>
  <c r="C55" i="2" s="1"/>
  <c r="B55" i="2"/>
  <c r="B58" i="2"/>
  <c r="B8" i="3"/>
  <c r="D8" i="3" s="1"/>
  <c r="B15" i="3"/>
  <c r="B16" i="3" s="1"/>
  <c r="B57" i="2"/>
  <c r="B17" i="3" s="1"/>
  <c r="C57" i="2"/>
  <c r="C17" i="3" s="1"/>
  <c r="C15" i="3" l="1"/>
  <c r="C16" i="3" s="1"/>
  <c r="D16" i="3" s="1"/>
  <c r="D17" i="3"/>
  <c r="D15" i="3" l="1"/>
</calcChain>
</file>

<file path=xl/sharedStrings.xml><?xml version="1.0" encoding="utf-8"?>
<sst xmlns="http://schemas.openxmlformats.org/spreadsheetml/2006/main" count="382" uniqueCount="323">
  <si>
    <t>🇦🇺  AUSTRALIAN TAX OPTIMISER 2026-27</t>
  </si>
  <si>
    <t>📋  TAX RATES REFERENCE</t>
  </si>
  <si>
    <t>Budget Night 12 May 2026 · Current (2025-26) vs New Regime (2026-27+)</t>
  </si>
  <si>
    <t>Rate / Threshold</t>
  </si>
  <si>
    <t>2025-26 &amp; 2026-27 Resident Tax Brackets</t>
  </si>
  <si>
    <t>PERSONAL DETAILS</t>
  </si>
  <si>
    <t>Taxable Income</t>
  </si>
  <si>
    <t>Rate</t>
  </si>
  <si>
    <t>Source</t>
  </si>
  <si>
    <t>Taxpayer name</t>
  </si>
  <si>
    <t>$0 – $18,200</t>
  </si>
  <si>
    <t>0%</t>
  </si>
  <si>
    <t>ATO</t>
  </si>
  <si>
    <t>Residency status</t>
  </si>
  <si>
    <t>Australian Resident</t>
  </si>
  <si>
    <t>$18,201 – $45,000</t>
  </si>
  <si>
    <t>16%</t>
  </si>
  <si>
    <t>Stage 3 (from 1 Jul 25)</t>
  </si>
  <si>
    <t>Age</t>
  </si>
  <si>
    <t>$45,001 – $135,000</t>
  </si>
  <si>
    <t>30%</t>
  </si>
  <si>
    <t>Stage 3</t>
  </si>
  <si>
    <t>Has private health insurance?</t>
  </si>
  <si>
    <t>No</t>
  </si>
  <si>
    <t>$135,001 – $190,000</t>
  </si>
  <si>
    <t>37%</t>
  </si>
  <si>
    <t>HELP / HECS debt outstanding ($)</t>
  </si>
  <si>
    <t>$190,001+</t>
  </si>
  <si>
    <t>45%</t>
  </si>
  <si>
    <t>INCOME INPUTS  (enter annual $ amounts)</t>
  </si>
  <si>
    <t>2026-27 New Measures (from 1 Jul 26)</t>
  </si>
  <si>
    <t>⚠  Yellow cells are your inputs. All amounts in AUD. Enter 0 if not applicable.</t>
  </si>
  <si>
    <t>2nd bracket rate</t>
  </si>
  <si>
    <t>15%</t>
  </si>
  <si>
    <t>Budget 12 May 2026 (was 16%)</t>
  </si>
  <si>
    <t>Salary / Wages (gross, before tax)</t>
  </si>
  <si>
    <t>I1</t>
  </si>
  <si>
    <t>$1,000 instant deduction</t>
  </si>
  <si>
    <t>Up to $1,000</t>
  </si>
  <si>
    <t>No receipts needed (workers)</t>
  </si>
  <si>
    <t>Employer Super Contributions (SG)</t>
  </si>
  <si>
    <t>I2</t>
  </si>
  <si>
    <t>WATO offset</t>
  </si>
  <si>
    <t>$250</t>
  </si>
  <si>
    <t>From 2027-28 only</t>
  </si>
  <si>
    <t>Salary Sacrifice to Super</t>
  </si>
  <si>
    <t>I3</t>
  </si>
  <si>
    <t>Medicare levy</t>
  </si>
  <si>
    <t>2.0%</t>
  </si>
  <si>
    <t>Standard; low-income thresholds raised 2.9%</t>
  </si>
  <si>
    <t>Fully Franked Dividends (cash amount)</t>
  </si>
  <si>
    <t>I4</t>
  </si>
  <si>
    <t>Medicare surcharge</t>
  </si>
  <si>
    <t>1–1.5%</t>
  </si>
  <si>
    <t>No private health + income &gt;$93k</t>
  </si>
  <si>
    <t>Unfranked Dividends</t>
  </si>
  <si>
    <t>I5</t>
  </si>
  <si>
    <t>Franking Credits (if known, else 0)</t>
  </si>
  <si>
    <t>I6</t>
  </si>
  <si>
    <t>CGT (current, assets acquired pre-1 Jul 27)</t>
  </si>
  <si>
    <t>Interest Income</t>
  </si>
  <si>
    <t>I7</t>
  </si>
  <si>
    <t>Held &lt;12 months</t>
  </si>
  <si>
    <t>Full marginal rate</t>
  </si>
  <si>
    <t>Net Rental Income / (Loss)</t>
  </si>
  <si>
    <t>I8</t>
  </si>
  <si>
    <t>Held ≥12 months</t>
  </si>
  <si>
    <t>50% discount then marginal</t>
  </si>
  <si>
    <t>Trust Distributions (taxable)</t>
  </si>
  <si>
    <t>I9</t>
  </si>
  <si>
    <t>Short-term Capital Gain (&lt;12 months)</t>
  </si>
  <si>
    <t>I10</t>
  </si>
  <si>
    <t>Trust Distributions (from 1 Jul 28)</t>
  </si>
  <si>
    <t>Discretionary trusts</t>
  </si>
  <si>
    <t>30% minimum tax</t>
  </si>
  <si>
    <t>Budget 12 May 2026</t>
  </si>
  <si>
    <t>Other Assessable Income</t>
  </si>
  <si>
    <t>I12</t>
  </si>
  <si>
    <t>Fixed/widely-held</t>
  </si>
  <si>
    <t>No change</t>
  </si>
  <si>
    <t>Excluded</t>
  </si>
  <si>
    <t>DEDUCTIONS</t>
  </si>
  <si>
    <t>Super Contributions Tax</t>
  </si>
  <si>
    <t>Work-related expenses (with receipts)</t>
  </si>
  <si>
    <t>Concessional (&lt;= cap)</t>
  </si>
  <si>
    <t>Cap $30,000/yr</t>
  </si>
  <si>
    <t>Division 293 (income &gt;$250k)</t>
  </si>
  <si>
    <t>+15%</t>
  </si>
  <si>
    <t>Investment expenses (interest, fees)</t>
  </si>
  <si>
    <t>Non-concessional</t>
  </si>
  <si>
    <t>Cap $120,000/yr</t>
  </si>
  <si>
    <t>Charitable donations</t>
  </si>
  <si>
    <t>Tax agent / accounting fees</t>
  </si>
  <si>
    <t>Personal super contributions</t>
  </si>
  <si>
    <t>Income protection insurance premium</t>
  </si>
  <si>
    <t>Other deductions</t>
  </si>
  <si>
    <t>SUPERANNUATION</t>
  </si>
  <si>
    <t>Total Super Balance (at 30 June prior year)</t>
  </si>
  <si>
    <t>Concessional contributions this year</t>
  </si>
  <si>
    <t>Non-concessional contributions this year</t>
  </si>
  <si>
    <t>I-S1</t>
  </si>
  <si>
    <t>I-S3</t>
  </si>
  <si>
    <t>I-S4</t>
  </si>
  <si>
    <t>📊  TAX CALCULATIONS — DETAILED WORKINGS</t>
  </si>
  <si>
    <t>Blue = input links  |  Black = formulas  |  Compare Current (2025-26) vs New Regime (2026-27+)</t>
  </si>
  <si>
    <t>ITEM</t>
  </si>
  <si>
    <t>CURRENT
2025-26</t>
  </si>
  <si>
    <t>NEW REGIME
2026-27+</t>
  </si>
  <si>
    <t>NOTES</t>
  </si>
  <si>
    <t>A.  GROSS INCOME</t>
  </si>
  <si>
    <t>Salary / Wages</t>
  </si>
  <si>
    <t>Employer SG Super (info only, not assessable)</t>
  </si>
  <si>
    <t>Not included in taxable income</t>
  </si>
  <si>
    <t>Franked Dividends (cash)</t>
  </si>
  <si>
    <t>Franking Credits (grossed-up)</t>
  </si>
  <si>
    <t>Added to income; offset against tax</t>
  </si>
  <si>
    <t>Net Rental Income/(Loss)</t>
  </si>
  <si>
    <t>Current: negative gearing allowed (loss reduces taxable income). New regime: negative gearing phased out from Jul 2026 UNLESS "New Residential" property — which retains full negative gearing.</t>
  </si>
  <si>
    <t>Trust Distributions</t>
  </si>
  <si>
    <t>Short-term Capital Gain</t>
  </si>
  <si>
    <t>&lt;12 months: fully taxable both regimes</t>
  </si>
  <si>
    <t>CGT Discount / Indexation adjustment (see Section L)</t>
  </si>
  <si>
    <t>Discount/indexation embedded in row 14 via Section L combined totals. See Section L for full workings.</t>
  </si>
  <si>
    <t>B.  DEDUCTIONS</t>
  </si>
  <si>
    <t>Work-related expenses (actual)</t>
  </si>
  <si>
    <t>2026-27: up to $1,000 no receipts needed; takes the higher of actual vs $1,000</t>
  </si>
  <si>
    <t>Investment expenses</t>
  </si>
  <si>
    <t>Tax agent / accounting</t>
  </si>
  <si>
    <t>Deductible if notice of intent lodged</t>
  </si>
  <si>
    <t>Income protection premium</t>
  </si>
  <si>
    <t>TOTAL DEDUCTIONS</t>
  </si>
  <si>
    <t>C.  TAXABLE INCOME</t>
  </si>
  <si>
    <t>TAXABLE INCOME</t>
  </si>
  <si>
    <t>D.  INCOME TAX  (before offsets &amp; levies)</t>
  </si>
  <si>
    <t>Gross Income Tax</t>
  </si>
  <si>
    <t>2025-26 brackets (Stage 3). 2026-27: 2nd bracket drops 16%→15%</t>
  </si>
  <si>
    <t>E.  OFFSETS  (reduce tax payable)</t>
  </si>
  <si>
    <t>Low Income Tax Offset (LITO)</t>
  </si>
  <si>
    <t>Max $700; phases out $37,500–$66,667. Source: ATO 2025-26</t>
  </si>
  <si>
    <t>Senior &amp; Pensioner Tax Offset (SAPTO)</t>
  </si>
  <si>
    <t>Applies if age ≥67. Source: ATO 2025-26</t>
  </si>
  <si>
    <t>Franking Credit Offset</t>
  </si>
  <si>
    <t>Fully refundable if offset exceeds tax</t>
  </si>
  <si>
    <t>Working Australians Tax Offset (WATO)</t>
  </si>
  <si>
    <t>⚠ $250 WATO applies from 2027-28 (not yet in 2026-27 — add manually when planning forward)</t>
  </si>
  <si>
    <t>TOTAL OFFSETS</t>
  </si>
  <si>
    <t>F.  MEDICARE LEVY &amp; SURCHARGE</t>
  </si>
  <si>
    <t>Medicare Levy (2%)</t>
  </si>
  <si>
    <t>Low-income threshold $28,011 (raised 2.9% in Budget 2026, retroactive 2025-26)</t>
  </si>
  <si>
    <t>Medicare Levy Surcharge</t>
  </si>
  <si>
    <t>Only if NO private health insurance. 1–1.5% depending on income tier.</t>
  </si>
  <si>
    <t>TOTAL MEDICARE</t>
  </si>
  <si>
    <t>G.  SUPERANNUATION TAX</t>
  </si>
  <si>
    <t>Concessional Contributions Tax (15%)</t>
  </si>
  <si>
    <t>On concessional contribs up to cap $30,000. Paid by super fund.</t>
  </si>
  <si>
    <t>Division 293 Additional Tax (15%)</t>
  </si>
  <si>
    <t>Extra 15% if income+SG &gt; $250,000. Source: ATO</t>
  </si>
  <si>
    <t>TOTAL SUPER TAX</t>
  </si>
  <si>
    <t>H.  TAX SUMMARY</t>
  </si>
  <si>
    <t>Less: Total Offsets</t>
  </si>
  <si>
    <t>Income Tax Payable</t>
  </si>
  <si>
    <t>Less: Franking Credit Refund</t>
  </si>
  <si>
    <t>Refunded if franking credits exceed tax payable</t>
  </si>
  <si>
    <t>Medicare Levy</t>
  </si>
  <si>
    <t>Super Tax (concessional)</t>
  </si>
  <si>
    <t>TOTAL TAX PAYABLE</t>
  </si>
  <si>
    <t>Effective Tax Rate</t>
  </si>
  <si>
    <t>Total tax (incl. 30% CGT min tax where applicable) / total assessable income</t>
  </si>
  <si>
    <t>Marginal Rate</t>
  </si>
  <si>
    <t>2026-27: 2nd bracket marginal rate 15% (was 16%)</t>
  </si>
  <si>
    <t>Net After-Tax Income (incl. franking refund)</t>
  </si>
  <si>
    <t>💰  TAX SAVING (LOSS) UNDER NEW REGIME</t>
  </si>
  <si>
    <t>I.  HELP / HECS REPAYMENT  (if applicable)</t>
  </si>
  <si>
    <t>HELP Repayment (compulsory)</t>
  </si>
  <si>
    <t>Only applies if HELP debt &gt; $0 on Inputs sheet. Rates: ATO 2025-26</t>
  </si>
  <si>
    <t>J.  DISCRETIONARY TRUST MINIMUM TAX  (from 1 July 2028)</t>
  </si>
  <si>
    <t>Trust distribution received</t>
  </si>
  <si>
    <t>Effective min tax (illustrative, from 2028)</t>
  </si>
  <si>
    <t>Budget 2026: 30% min tax on discretionary trust income from 1 Jul 2028. Not yet in force.</t>
  </si>
  <si>
    <t>⚠  Trust minimum tax does NOT apply until 1 July 2028. The 2026-27 column above shows the forward-looking liability for planning purposes only. Not included in 2026-27 totals.</t>
  </si>
  <si>
    <t>30% CGT minimum tax on post-Jul-2027 gains</t>
  </si>
  <si>
    <t>30% min CGT: tax on full income minus tax without CGT gain = CGT-specific tax. Top-up = max(0, 30%×gain - CGT tax). Corrected bracket constants (4020/31020/51370).</t>
  </si>
  <si>
    <t>TOTAL CGT MINIMUM TAX (30%)</t>
  </si>
  <si>
    <t>Check Calculations</t>
  </si>
  <si>
    <t>Taxable Income minus Capital Gains after July 2026 (non new residential)</t>
  </si>
  <si>
    <t>Tax due on Income above</t>
  </si>
  <si>
    <t>Effective Tax Rate on Income excluding Capital Gains after July 2026</t>
  </si>
  <si>
    <t>If over 30% then no top up needed</t>
  </si>
  <si>
    <t>🧾  COMPARISON SUMMARY &amp; TAX BREAKDOWN</t>
  </si>
  <si>
    <t>DIFFERENCE
(New − Current)</t>
  </si>
  <si>
    <t>After deductions</t>
  </si>
  <si>
    <t>Before offsets</t>
  </si>
  <si>
    <t>Total Tax Offsets</t>
  </si>
  <si>
    <t>LITO, SAPTO, franking credits</t>
  </si>
  <si>
    <t>If no private health insurance</t>
  </si>
  <si>
    <t>Paid by super fund</t>
  </si>
  <si>
    <t>CGT Minimum Tax (30%, post-Jul-26 gains)</t>
  </si>
  <si>
    <t>New regime only: 30% min CGT on post-Jul-26 gains if eff. rate &lt; 30%. Exempt for new residential property.</t>
  </si>
  <si>
    <t>HELP Repayment</t>
  </si>
  <si>
    <t>If HELP debt &gt; $0</t>
  </si>
  <si>
    <t>💰  TOTAL TAX PAYABLE  (excl. trust min tax)</t>
  </si>
  <si>
    <t>Net After-Tax Income</t>
  </si>
  <si>
    <t>📊  ATO CPI REFERENCE TABLE — All Groups, Weighted Average 8 Capital Cities (2011-12 = 100)</t>
  </si>
  <si>
    <t>Source: Australian Taxation Office  |  https://www.ato.gov.au/tax-rates-and-codes/consumer-price-index</t>
  </si>
  <si>
    <t>Used for CGT cost base indexation under the new 2026-27+ regime (same method as pre-1999 ATO rules).</t>
  </si>
  <si>
    <t>⚠ Quarters shown as blank below (Dec 2025 onward) must be entered manually from the ATO link above. ABS publishes each quarter ~4 weeks after quarter end.</t>
  </si>
  <si>
    <t>Year</t>
  </si>
  <si>
    <t>Mar (Q1)</t>
  </si>
  <si>
    <t>Jun (Q2)</t>
  </si>
  <si>
    <t>Sep (Q3)</t>
  </si>
  <si>
    <t>Dec (Q4)</t>
  </si>
  <si>
    <t>← enter</t>
  </si>
  <si>
    <t>Notes:</t>
  </si>
  <si>
    <t>• Quarters: Mar=Q1 (Jan-Mar), Jun=Q2 (Apr-Jun), Sep=Q3 (Jul-Sep), Dec=Q4 (Oct-Dec)</t>
  </si>
  <si>
    <t>• Indexation factor = CPI at sale quarter ÷ CPI at purchase quarter (or 1 Jul 2027 if earlier for pre-2027 assets)</t>
  </si>
  <si>
    <t>• Factor rounded to 3 decimal places per ATO rules</t>
  </si>
  <si>
    <t>• For post-2027 gains: indexed cost base = cost base × indexation factor. Taxable gain = proceeds − indexed cost base</t>
  </si>
  <si>
    <t>2025-2026 Tax Brackets</t>
  </si>
  <si>
    <t>Current 2025-2026</t>
  </si>
  <si>
    <t>New Tax Regime</t>
  </si>
  <si>
    <t>Base Tax</t>
  </si>
  <si>
    <t>Example to Check Formulas</t>
  </si>
  <si>
    <t>Income</t>
  </si>
  <si>
    <t>Tax</t>
  </si>
  <si>
    <t>Manual Check</t>
  </si>
  <si>
    <t>💡  TAX OPTIMISATION STRATEGIES  —  Australian 2026-27</t>
  </si>
  <si>
    <t>STRATEGY</t>
  </si>
  <si>
    <t>APPLIES
WHEN</t>
  </si>
  <si>
    <t>HOW IT WORKS &amp; WHAT TO DO</t>
  </si>
  <si>
    <t>TIMING</t>
  </si>
  <si>
    <t>COMPLEXITY</t>
  </si>
  <si>
    <t>1.  PRIMARY RESIDENCE - ZERO CAPITAL GAINS STRATEGIES</t>
  </si>
  <si>
    <t>Main Residence Exemption</t>
  </si>
  <si>
    <t>Purchase own residence</t>
  </si>
  <si>
    <t>Your primary home is completely exempt from capital gains tax — no tax on the gain regardless of size or how long you held it. Key points:
Must be your genuine primary residence (you live there, it's your "home")
Only one property can qualify at a time
Land up to 2 hectares is included
Exemption is pro-rated if you ever rented it out or used it for business during ownership</t>
  </si>
  <si>
    <t>Ongoing</t>
  </si>
  <si>
    <t>Low</t>
  </si>
  <si>
    <t>The 6-Year Rule (Absence Rule)</t>
  </si>
  <si>
    <t>Purchase own residence, live there, then rent it</t>
  </si>
  <si>
    <t>If you move out of your primary residence and rent it out, you can treat it as your main residence for up to 6 years for CGT purposes, provided:
You're not claiming another property as your main residence at the same time
If you move back in and reset the clock, you can get another 6 years when you move out again — indefinitely                                                        If you sell after the 6 years has expired, the exemption is pro-rated — you only get a partial exemption based on the proportion of time it qualified</t>
  </si>
  <si>
    <t>1.  SUPERANNUATION STRATEGIES</t>
  </si>
  <si>
    <t>Income &gt; $45,000</t>
  </si>
  <si>
    <t>Redirect pre-tax salary into super at 15% contributions tax instead of your marginal rate. Up to $30,000/yr concessional cap (including SG). Use your payroll system or speak to HR.</t>
  </si>
  <si>
    <t>Year-round via payroll</t>
  </si>
  <si>
    <t>Personal Deductible Super Contribution</t>
  </si>
  <si>
    <t>Self-employed / PAYG</t>
  </si>
  <si>
    <t>Contribute to super personally and claim a tax deduction (lodge Notice of Intent). Reduces assessable income by the contribution amount. Max $30,000 concessional cap.</t>
  </si>
  <si>
    <t>Before 30 June</t>
  </si>
  <si>
    <t>Catch-up Concessional Contributions</t>
  </si>
  <si>
    <t>TSB &lt; $500,000</t>
  </si>
  <si>
    <t>If Total Super Balance &lt; $500k, you can carry forward unused concessional cap from prior 5 years. Up to $150k additional in one year. Check ATO myGov for unused cap amounts.</t>
  </si>
  <si>
    <t>Medium</t>
  </si>
  <si>
    <t>Spouse Super Contribution Offset</t>
  </si>
  <si>
    <t>Spouse income &lt; $37,000</t>
  </si>
  <si>
    <t>Contribute up to $3,000 to low-income spouse super → $540 tax offset (18% of first $3k). Spouse must be under 75 and have income below $40k.</t>
  </si>
  <si>
    <t>2.  INVESTMENT INCOME STRATEGIES</t>
  </si>
  <si>
    <t>Hold Investments &gt; 12 Months for CGT Discount</t>
  </si>
  <si>
    <t>Selling investments</t>
  </si>
  <si>
    <t>Assets held ≥12 months get 50% CGT discount (current and 2026-27 for pre-Jul-27 assets). Delay sale past 12-month mark if close. NOTE: from 1 Jul 2027, discount replaced by indexation for new assets.</t>
  </si>
  <si>
    <t>Offset Capital Gains with Capital Losses</t>
  </si>
  <si>
    <t>If holding loss positions</t>
  </si>
  <si>
    <t>Realise capital losses in the same year as gains to net them off. Losses can also be carried forward indefinitely. Review portfolio before 30 June each year.</t>
  </si>
  <si>
    <t>Franking Credits from Australian Shares</t>
  </si>
  <si>
    <t>3.  DEDUCTION STRATEGIES</t>
  </si>
  <si>
    <t>$1,000 Instant Tax Deduction (NEW 2026-27)</t>
  </si>
  <si>
    <t>All workers</t>
  </si>
  <si>
    <t>From 2026-27: claim up to $1,000 work-related expenses WITHOUT receipts. If your actual WRE &lt; $1,000, you automatically get the full $1k deduction. Enable this on the Inputs sheet.</t>
  </si>
  <si>
    <t>2026-27 return</t>
  </si>
  <si>
    <t>Very Low</t>
  </si>
  <si>
    <t>Prepay Investment Loan Interest</t>
  </si>
  <si>
    <t>Investment property/margin loans</t>
  </si>
  <si>
    <t>Prepay up to 12 months of investment loan interest before 30 June to bring the deduction into the current tax year. Useful if income is high this year and lower next year.</t>
  </si>
  <si>
    <t>Income Protection Insurance</t>
  </si>
  <si>
    <t>Premiums for income protection insurance (outside super) are fully tax deductible. Ensure policy is for loss-of-income (not trauma/life). Consider annual vs monthly billing.</t>
  </si>
  <si>
    <t>Anytime</t>
  </si>
  <si>
    <t>Charitable Donations</t>
  </si>
  <si>
    <t>4.  TRUST &amp; BUSINESS STRUCTURE STRATEGIES</t>
  </si>
  <si>
    <t>Review Trust Distributions Before 2028 Minimum Tax</t>
  </si>
  <si>
    <t>Discretionary trust beneficiaries</t>
  </si>
  <si>
    <t>From 1 Jul 2028, discretionary trusts face 30% minimum tax. Use rollover relief window (1 Jul 2027 – 30 Jun 2030) to restructure into fixed trusts, companies, or direct ownership. Act before 2028.</t>
  </si>
  <si>
    <t>By 30 Jun 2027</t>
  </si>
  <si>
    <t>High</t>
  </si>
  <si>
    <t>Negative Gearing — Grandfathering Strategy</t>
  </si>
  <si>
    <t>Property investors</t>
  </si>
  <si>
    <t>Properties purchased before 7:30pm 12 May 2026 retain full negative gearing rights. New residential properties also retain negative gearing under the Budget exception. All other new investment property purchases from Jul 2026 CANNOT claim negative gearing. Document purchase contracts and dates carefully. If investing post-Jul 2026, favour new builds.</t>
  </si>
  <si>
    <t>Company / Bucket Company Structure</t>
  </si>
  <si>
    <t>5.  TIMING &amp; DEFERRAL STRATEGIES</t>
  </si>
  <si>
    <t>Defer Income to Next Financial Year</t>
  </si>
  <si>
    <t>Self-employed / variable income</t>
  </si>
  <si>
    <t>If you expect lower income next year, delay invoicing or income recognition to after 30 June. Not available to employees (PAYG). Consult tax agent on timing rules.</t>
  </si>
  <si>
    <t>Bring Forward Deductions</t>
  </si>
  <si>
    <t>High income years</t>
  </si>
  <si>
    <t>If this year has unusually high income, prepay deductible expenses before 30 June: professional memberships, subscriptions, insurance premiums, charity donations. Claim in the high-income year for maximum tax benefit.</t>
  </si>
  <si>
    <t>Private Health Insurance to Avoid MLS</t>
  </si>
  <si>
    <t>Income &gt; $93,000</t>
  </si>
  <si>
    <t>If income &gt; $93,000 and no private health cover, you pay Medicare Levy Surcharge (1–1.5%). Compare MLS cost vs basic hospital cover premium (~$1,500-2,000/yr). For many, taking out basic hospital cover is cheaper than the surcharge.</t>
  </si>
  <si>
    <t>⚠  DISCLAIMER: This spreadsheet is for illustrative and planning purposes only. It does not constitute tax, financial or legal advice. Tax laws change and individual circumstances vary. Always consult a registered tax agent (CPA/CA) or financial adviser (AFP/CFP) before making tax or investment decisions. Budget measures are proposals until enacted. Source: ATO.gov.au, PM.gov.au, Treasury Budget Papers 2026-27.</t>
  </si>
  <si>
    <t>Consult a registered tax agent or financial adviser before acting.</t>
  </si>
  <si>
    <t>James</t>
  </si>
  <si>
    <t>Use $1,000 instant deduction for work expenses instead?</t>
  </si>
  <si>
    <t>Long-term Capital Gain</t>
  </si>
  <si>
    <t>Capital Gains Tax Deduction (50% or CPI)</t>
  </si>
  <si>
    <t>Pre July 2027 50% CGT Discount/ Post July 2026 CPI Indexation Method</t>
  </si>
  <si>
    <t>TOTAL GROSS INCOME (before deductions)</t>
  </si>
  <si>
    <t>Gross Income</t>
  </si>
  <si>
    <t>Cost Basis</t>
  </si>
  <si>
    <t>CGT INDEXATION CALCULATOR — Simple</t>
  </si>
  <si>
    <t>Sale Price</t>
  </si>
  <si>
    <t>K.  CGT CPI Indexation Discount</t>
  </si>
  <si>
    <t xml:space="preserve">CPI Indexation Factor </t>
  </si>
  <si>
    <t>(1 + CPI Rate)^Number of Years Held</t>
  </si>
  <si>
    <t>CPI Adjusted Cost Basis</t>
  </si>
  <si>
    <t>Discount to Capital Gains</t>
  </si>
  <si>
    <t>Capital Gain</t>
  </si>
  <si>
    <t xml:space="preserve">How many years did you hold the asset </t>
  </si>
  <si>
    <t>K.  CGT MINIMUM TAX — 30% (New Regime, Post-1 Jul 2027 gains)</t>
  </si>
  <si>
    <t>Taxable Capital Gain</t>
  </si>
  <si>
    <t>Tax already included above on Taxable Capital Gains after July 2026</t>
  </si>
  <si>
    <t>Effective Tax Rate on the Taxable Capital Gains after July 2026</t>
  </si>
  <si>
    <t xml:space="preserve">  Years held </t>
  </si>
  <si>
    <t xml:space="preserve">  Assumed annual CPI rate </t>
  </si>
  <si>
    <t xml:space="preserve">RBA target 2–3%. </t>
  </si>
  <si>
    <t xml:space="preserve">⚠ 30% CGT minimum tax applies on post-1 Jul 2027 long-term gains where effective tax rate &lt; 30%. Does NOT apply to new residential property (Budget exception).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</si>
</sst>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quot;($&quot;#,##0\);\-"/>
    <numFmt numFmtId="165" formatCode="_(\$* #,##0_);_(\$* \(#,##0\);_(\$* \-??_);_(@_)"/>
    <numFmt numFmtId="166" formatCode="\$#,##0"/>
    <numFmt numFmtId="167" formatCode="0.0%"/>
    <numFmt numFmtId="168" formatCode="0.0"/>
    <numFmt numFmtId="169" formatCode="0.0%;\(0.0%\);\-"/>
    <numFmt numFmtId="170" formatCode="_(\$* #,##0.00_);_(\$* \(#,##0.00\);_(\$* \-??_);_(@_)"/>
    <numFmt numFmtId="171" formatCode="0.00000000000000"/>
    <numFmt numFmtId="172" formatCode="_(\$* #,##0.0000_);_(\$* \(#,##0.0000\);_(\$* \-??_);_(@_)"/>
  </numFmts>
  <fonts count="40" x14ac:knownFonts="1">
    <font>
      <sz val="11"/>
      <color theme="1"/>
      <name val="Calibri"/>
      <family val="2"/>
      <charset val="1"/>
    </font>
    <font>
      <b/>
      <sz val="14"/>
      <color rgb="FFFFFFFF"/>
      <name val="Arial"/>
      <family val="2"/>
      <charset val="1"/>
    </font>
    <font>
      <b/>
      <sz val="12"/>
      <color rgb="FFFFFFFF"/>
      <name val="Arial"/>
      <family val="2"/>
      <charset val="1"/>
    </font>
    <font>
      <i/>
      <sz val="10"/>
      <color rgb="FF595959"/>
      <name val="Arial"/>
      <family val="2"/>
      <charset val="1"/>
    </font>
    <font>
      <b/>
      <sz val="10"/>
      <color rgb="FFFFFFFF"/>
      <name val="Arial"/>
      <family val="2"/>
      <charset val="1"/>
    </font>
    <font>
      <b/>
      <sz val="9"/>
      <color rgb="FFFFFFFF"/>
      <name val="Arial"/>
      <family val="2"/>
      <charset val="1"/>
    </font>
    <font>
      <b/>
      <sz val="11"/>
      <color rgb="FFFFFFFF"/>
      <name val="Arial"/>
      <family val="2"/>
      <charset val="1"/>
    </font>
    <font>
      <sz val="9"/>
      <color rgb="FF000000"/>
      <name val="Arial"/>
      <family val="2"/>
      <charset val="1"/>
    </font>
    <font>
      <sz val="10"/>
      <color rgb="FF000000"/>
      <name val="Arial"/>
      <family val="2"/>
      <charset val="1"/>
    </font>
    <font>
      <sz val="10"/>
      <color rgb="FF0000FF"/>
      <name val="Arial"/>
      <family val="2"/>
      <charset val="1"/>
    </font>
    <font>
      <i/>
      <sz val="9"/>
      <color rgb="FF7F3F00"/>
      <name val="Arial"/>
      <family val="2"/>
      <charset val="1"/>
    </font>
    <font>
      <sz val="8"/>
      <color rgb="FF888888"/>
      <name val="Arial"/>
      <family val="2"/>
      <charset val="1"/>
    </font>
    <font>
      <i/>
      <sz val="11"/>
      <color rgb="FF595959"/>
      <name val="Cambria"/>
      <family val="1"/>
      <charset val="1"/>
    </font>
    <font>
      <sz val="11"/>
      <color rgb="FF000000"/>
      <name val="Cambria"/>
      <family val="1"/>
      <charset val="1"/>
    </font>
    <font>
      <sz val="10"/>
      <name val="Arial"/>
      <family val="2"/>
      <charset val="1"/>
    </font>
    <font>
      <i/>
      <sz val="11"/>
      <color rgb="FFC00000"/>
      <name val="Cambria"/>
      <family val="1"/>
      <charset val="1"/>
    </font>
    <font>
      <sz val="11"/>
      <color rgb="FF000000"/>
      <name val="Cambria"/>
      <family val="1"/>
    </font>
    <font>
      <i/>
      <sz val="11"/>
      <color rgb="FFC00000"/>
      <name val="Cambria"/>
      <family val="1"/>
    </font>
    <font>
      <i/>
      <sz val="11"/>
      <color rgb="FF595959"/>
      <name val="Cambria"/>
      <family val="1"/>
    </font>
    <font>
      <sz val="11"/>
      <color rgb="FF0000FF"/>
      <name val="Cambria"/>
      <family val="1"/>
    </font>
    <font>
      <b/>
      <sz val="13"/>
      <color rgb="FFFFFFFF"/>
      <name val="Arial"/>
      <family val="2"/>
      <charset val="1"/>
    </font>
    <font>
      <i/>
      <sz val="9"/>
      <color rgb="FF595959"/>
      <name val="Arial"/>
      <family val="2"/>
      <charset val="1"/>
    </font>
    <font>
      <sz val="10"/>
      <color rgb="FF008000"/>
      <name val="Arial"/>
      <family val="2"/>
      <charset val="1"/>
    </font>
    <font>
      <sz val="9"/>
      <color rgb="FF595959"/>
      <name val="Arial"/>
      <family val="2"/>
      <charset val="1"/>
    </font>
    <font>
      <sz val="11"/>
      <color rgb="FF008000"/>
      <name val="Cambria"/>
      <family val="1"/>
      <charset val="1"/>
    </font>
    <font>
      <sz val="11"/>
      <color rgb="FF008000"/>
      <name val="Cambria"/>
      <family val="1"/>
    </font>
    <font>
      <b/>
      <sz val="10"/>
      <color rgb="FF000000"/>
      <name val="Arial"/>
      <family val="2"/>
      <charset val="1"/>
    </font>
    <font>
      <b/>
      <sz val="11"/>
      <color rgb="FF000000"/>
      <name val="Arial"/>
      <family val="2"/>
      <charset val="1"/>
    </font>
    <font>
      <b/>
      <sz val="11"/>
      <color rgb="FF000000"/>
      <name val="Cambria"/>
      <family val="1"/>
      <charset val="1"/>
    </font>
    <font>
      <b/>
      <sz val="11"/>
      <color rgb="FF375623"/>
      <name val="Arial"/>
      <family val="2"/>
      <charset val="1"/>
    </font>
    <font>
      <b/>
      <sz val="11"/>
      <name val="Cambria"/>
      <family val="1"/>
    </font>
    <font>
      <b/>
      <sz val="12"/>
      <name val="Cambria"/>
      <family val="1"/>
    </font>
    <font>
      <i/>
      <sz val="11"/>
      <color rgb="FF0070C0"/>
      <name val="Cambria"/>
      <family val="1"/>
    </font>
    <font>
      <b/>
      <sz val="11"/>
      <color rgb="FFFFFFFF"/>
      <name val="Cambria"/>
      <family val="1"/>
    </font>
    <font>
      <b/>
      <sz val="14"/>
      <color theme="1"/>
      <name val="Calibri"/>
      <family val="2"/>
      <charset val="1"/>
    </font>
    <font>
      <b/>
      <sz val="11"/>
      <color theme="1"/>
      <name val="Calibri"/>
      <family val="2"/>
      <charset val="1"/>
    </font>
    <font>
      <b/>
      <sz val="10"/>
      <name val="Arial"/>
      <family val="2"/>
      <charset val="1"/>
    </font>
    <font>
      <b/>
      <sz val="9"/>
      <name val="Arial"/>
      <family val="2"/>
      <charset val="1"/>
    </font>
    <font>
      <sz val="9"/>
      <name val="Arial"/>
      <family val="2"/>
      <charset val="1"/>
    </font>
    <font>
      <i/>
      <sz val="8"/>
      <color rgb="FF7F3F00"/>
      <name val="Arial"/>
      <family val="2"/>
      <charset val="1"/>
    </font>
  </fonts>
  <fills count="18">
    <fill>
      <patternFill patternType="none"/>
    </fill>
    <fill>
      <patternFill patternType="gray125"/>
    </fill>
    <fill>
      <patternFill patternType="solid">
        <fgColor rgb="FF1F4E79"/>
        <bgColor rgb="FF003366"/>
      </patternFill>
    </fill>
    <fill>
      <patternFill patternType="solid">
        <fgColor rgb="FF2E75B6"/>
        <bgColor rgb="FF0070C0"/>
      </patternFill>
    </fill>
    <fill>
      <patternFill patternType="solid">
        <fgColor rgb="FFD6E4F0"/>
        <bgColor rgb="FFD9E1F2"/>
      </patternFill>
    </fill>
    <fill>
      <patternFill patternType="solid">
        <fgColor rgb="FFFFFFFF"/>
        <bgColor rgb="FFEBF3FB"/>
      </patternFill>
    </fill>
    <fill>
      <patternFill patternType="solid">
        <fgColor rgb="FFFFFF00"/>
        <bgColor rgb="FFFFFF00"/>
      </patternFill>
    </fill>
    <fill>
      <patternFill patternType="solid">
        <fgColor rgb="FFEBF3FB"/>
        <bgColor rgb="FFE2EFDA"/>
      </patternFill>
    </fill>
    <fill>
      <patternFill patternType="solid">
        <fgColor rgb="FFFFF2CC"/>
        <bgColor rgb="FFFCE4D6"/>
      </patternFill>
    </fill>
    <fill>
      <patternFill patternType="solid">
        <fgColor rgb="FFE2EFDA"/>
        <bgColor rgb="FFEBF3FB"/>
      </patternFill>
    </fill>
    <fill>
      <patternFill patternType="solid">
        <fgColor rgb="FFFFC000"/>
        <bgColor rgb="FFFF9900"/>
      </patternFill>
    </fill>
    <fill>
      <patternFill patternType="solid">
        <fgColor theme="0" tint="-0.14999847407452621"/>
        <bgColor rgb="FFD9E1F2"/>
      </patternFill>
    </fill>
    <fill>
      <patternFill patternType="solid">
        <fgColor theme="6" tint="0.39988402966399123"/>
        <bgColor rgb="FFBFBFBF"/>
      </patternFill>
    </fill>
    <fill>
      <patternFill patternType="solid">
        <fgColor theme="9" tint="0.39988402966399123"/>
        <bgColor rgb="FFC3D69B"/>
      </patternFill>
    </fill>
    <fill>
      <patternFill patternType="solid">
        <fgColor theme="4" tint="0.39988402966399123"/>
        <bgColor rgb="FF9999FF"/>
      </patternFill>
    </fill>
    <fill>
      <patternFill patternType="solid">
        <fgColor theme="0"/>
        <bgColor indexed="64"/>
      </patternFill>
    </fill>
    <fill>
      <patternFill patternType="solid">
        <fgColor theme="0"/>
        <bgColor rgb="FFEBF3FB"/>
      </patternFill>
    </fill>
    <fill>
      <patternFill patternType="solid">
        <fgColor theme="0"/>
        <bgColor rgb="FFE2EFDA"/>
      </patternFill>
    </fill>
  </fills>
  <borders count="6">
    <border>
      <left/>
      <right/>
      <top/>
      <bottom/>
      <diagonal/>
    </border>
    <border>
      <left style="thin">
        <color rgb="FFBFBFBF"/>
      </left>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BFBFBF"/>
      </left>
      <right/>
      <top/>
      <bottom/>
      <diagonal/>
    </border>
  </borders>
  <cellStyleXfs count="1">
    <xf numFmtId="0" fontId="0" fillId="0" borderId="0"/>
  </cellStyleXfs>
  <cellXfs count="121">
    <xf numFmtId="0" fontId="0" fillId="0" borderId="0" xfId="0"/>
    <xf numFmtId="0" fontId="8" fillId="0" borderId="2" xfId="0" applyFont="1" applyBorder="1" applyAlignment="1">
      <alignment horizontal="left" vertical="center" wrapText="1"/>
    </xf>
    <xf numFmtId="0" fontId="10" fillId="8" borderId="2"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7" fillId="5" borderId="2" xfId="0" applyFont="1" applyFill="1" applyBorder="1" applyAlignment="1">
      <alignment horizontal="left" vertical="center" wrapText="1"/>
    </xf>
    <xf numFmtId="49" fontId="9" fillId="6" borderId="2" xfId="0" applyNumberFormat="1" applyFont="1" applyFill="1" applyBorder="1" applyAlignment="1">
      <alignment horizontal="right" vertical="center"/>
    </xf>
    <xf numFmtId="0" fontId="0" fillId="0" borderId="2" xfId="0" applyBorder="1"/>
    <xf numFmtId="0" fontId="7" fillId="7" borderId="2" xfId="0" applyFont="1" applyFill="1" applyBorder="1" applyAlignment="1">
      <alignment horizontal="left" vertical="center" wrapText="1"/>
    </xf>
    <xf numFmtId="1" fontId="9" fillId="6" borderId="2" xfId="0" applyNumberFormat="1" applyFont="1" applyFill="1" applyBorder="1" applyAlignment="1">
      <alignment horizontal="right" vertical="center"/>
    </xf>
    <xf numFmtId="164" fontId="9" fillId="6" borderId="2" xfId="0" applyNumberFormat="1" applyFont="1" applyFill="1" applyBorder="1" applyAlignment="1">
      <alignment horizontal="right" vertical="center"/>
    </xf>
    <xf numFmtId="0" fontId="11" fillId="0" borderId="0" xfId="0" applyFont="1" applyAlignment="1">
      <alignment horizontal="left" vertical="center" wrapText="1"/>
    </xf>
    <xf numFmtId="0" fontId="12" fillId="0" borderId="0" xfId="0" applyFont="1"/>
    <xf numFmtId="0" fontId="15" fillId="0" borderId="0" xfId="0" applyFont="1"/>
    <xf numFmtId="0" fontId="0" fillId="0" borderId="3" xfId="0" applyBorder="1"/>
    <xf numFmtId="0" fontId="0" fillId="0" borderId="4" xfId="0" applyBorder="1"/>
    <xf numFmtId="0" fontId="17" fillId="0" borderId="0" xfId="0" applyFont="1"/>
    <xf numFmtId="0" fontId="18" fillId="0" borderId="0" xfId="0" applyFont="1"/>
    <xf numFmtId="0" fontId="16" fillId="0" borderId="0" xfId="0" applyFont="1"/>
    <xf numFmtId="166" fontId="19" fillId="6" borderId="0" xfId="0" applyNumberFormat="1" applyFont="1" applyFill="1"/>
    <xf numFmtId="167" fontId="19" fillId="6" borderId="0" xfId="0" applyNumberFormat="1" applyFont="1" applyFill="1"/>
    <xf numFmtId="1" fontId="19" fillId="6" borderId="0" xfId="0" applyNumberFormat="1" applyFont="1" applyFill="1"/>
    <xf numFmtId="0" fontId="6" fillId="3" borderId="2"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8" fillId="5" borderId="2" xfId="0" applyFont="1" applyFill="1" applyBorder="1" applyAlignment="1">
      <alignment horizontal="left" vertical="center" wrapText="1"/>
    </xf>
    <xf numFmtId="164" fontId="22" fillId="5" borderId="2" xfId="0" applyNumberFormat="1" applyFont="1" applyFill="1" applyBorder="1" applyAlignment="1">
      <alignment horizontal="right" vertical="center"/>
    </xf>
    <xf numFmtId="0" fontId="23" fillId="5" borderId="2" xfId="0" applyFont="1" applyFill="1" applyBorder="1" applyAlignment="1">
      <alignment horizontal="left" vertical="center" wrapText="1"/>
    </xf>
    <xf numFmtId="164" fontId="24" fillId="5" borderId="2" xfId="0" applyNumberFormat="1" applyFont="1" applyFill="1" applyBorder="1" applyAlignment="1">
      <alignment horizontal="right" vertical="center"/>
    </xf>
    <xf numFmtId="164" fontId="13" fillId="5" borderId="2" xfId="0" applyNumberFormat="1" applyFont="1" applyFill="1" applyBorder="1" applyAlignment="1">
      <alignment horizontal="right" vertical="center"/>
    </xf>
    <xf numFmtId="164" fontId="16" fillId="5" borderId="2" xfId="0" applyNumberFormat="1" applyFont="1" applyFill="1" applyBorder="1" applyAlignment="1">
      <alignment horizontal="right" vertical="center"/>
    </xf>
    <xf numFmtId="164" fontId="25" fillId="5" borderId="2" xfId="0" applyNumberFormat="1" applyFont="1" applyFill="1" applyBorder="1" applyAlignment="1">
      <alignment horizontal="right" vertical="center"/>
    </xf>
    <xf numFmtId="0" fontId="26" fillId="4" borderId="2" xfId="0" applyFont="1" applyFill="1" applyBorder="1" applyAlignment="1">
      <alignment horizontal="left" vertical="center" wrapText="1"/>
    </xf>
    <xf numFmtId="164" fontId="22" fillId="4" borderId="2" xfId="0" applyNumberFormat="1" applyFont="1" applyFill="1" applyBorder="1" applyAlignment="1">
      <alignment horizontal="right" vertical="center"/>
    </xf>
    <xf numFmtId="0" fontId="26" fillId="5" borderId="2" xfId="0" applyFont="1" applyFill="1" applyBorder="1" applyAlignment="1">
      <alignment horizontal="left" vertical="center" wrapText="1"/>
    </xf>
    <xf numFmtId="0" fontId="26" fillId="10" borderId="2" xfId="0" applyFont="1" applyFill="1" applyBorder="1" applyAlignment="1">
      <alignment horizontal="left" vertical="center" wrapText="1"/>
    </xf>
    <xf numFmtId="164" fontId="27" fillId="10" borderId="2" xfId="0" applyNumberFormat="1" applyFont="1" applyFill="1" applyBorder="1" applyAlignment="1">
      <alignment horizontal="right" vertical="center"/>
    </xf>
    <xf numFmtId="164" fontId="28" fillId="10" borderId="2" xfId="0" applyNumberFormat="1" applyFont="1" applyFill="1" applyBorder="1" applyAlignment="1">
      <alignment horizontal="right" vertical="center"/>
    </xf>
    <xf numFmtId="169" fontId="22" fillId="5" borderId="2" xfId="0" applyNumberFormat="1" applyFont="1" applyFill="1" applyBorder="1" applyAlignment="1">
      <alignment horizontal="right" vertical="center"/>
    </xf>
    <xf numFmtId="0" fontId="26" fillId="9" borderId="2" xfId="0" applyFont="1" applyFill="1" applyBorder="1" applyAlignment="1">
      <alignment horizontal="left" vertical="center" wrapText="1"/>
    </xf>
    <xf numFmtId="164" fontId="22" fillId="9" borderId="2" xfId="0" applyNumberFormat="1" applyFont="1" applyFill="1" applyBorder="1" applyAlignment="1">
      <alignment horizontal="right" vertical="center"/>
    </xf>
    <xf numFmtId="164" fontId="29" fillId="9" borderId="2" xfId="0" applyNumberFormat="1" applyFont="1" applyFill="1" applyBorder="1" applyAlignment="1">
      <alignment horizontal="right" vertical="center"/>
    </xf>
    <xf numFmtId="0" fontId="8" fillId="9" borderId="2" xfId="0" applyFont="1" applyFill="1" applyBorder="1" applyAlignment="1">
      <alignment horizontal="left" vertical="center" wrapText="1"/>
    </xf>
    <xf numFmtId="165" fontId="14" fillId="0" borderId="0" xfId="0" applyNumberFormat="1" applyFont="1"/>
    <xf numFmtId="165" fontId="16" fillId="0" borderId="0" xfId="0" applyNumberFormat="1" applyFont="1"/>
    <xf numFmtId="170" fontId="14" fillId="0" borderId="0" xfId="0" applyNumberFormat="1" applyFont="1"/>
    <xf numFmtId="0" fontId="0" fillId="11" borderId="0" xfId="0" applyFill="1"/>
    <xf numFmtId="165" fontId="0" fillId="11" borderId="0" xfId="0" applyNumberFormat="1" applyFill="1"/>
    <xf numFmtId="165" fontId="14" fillId="11" borderId="0" xfId="0" applyNumberFormat="1" applyFont="1" applyFill="1"/>
    <xf numFmtId="169" fontId="0" fillId="11" borderId="0" xfId="0" applyNumberFormat="1" applyFill="1"/>
    <xf numFmtId="167" fontId="0" fillId="11" borderId="0" xfId="0" applyNumberFormat="1" applyFill="1"/>
    <xf numFmtId="164" fontId="22" fillId="0" borderId="2" xfId="0" applyNumberFormat="1" applyFont="1" applyBorder="1" applyAlignment="1">
      <alignment horizontal="right" vertical="center"/>
    </xf>
    <xf numFmtId="164" fontId="8" fillId="0" borderId="2" xfId="0" applyNumberFormat="1" applyFont="1" applyBorder="1" applyAlignment="1">
      <alignment horizontal="right" vertical="center"/>
    </xf>
    <xf numFmtId="0" fontId="23" fillId="0" borderId="2" xfId="0" applyFont="1" applyBorder="1" applyAlignment="1">
      <alignment horizontal="left" vertical="center" wrapText="1"/>
    </xf>
    <xf numFmtId="0" fontId="0" fillId="2" borderId="1" xfId="0" applyFill="1" applyBorder="1"/>
    <xf numFmtId="0" fontId="27" fillId="10" borderId="2" xfId="0" applyFont="1" applyFill="1" applyBorder="1" applyAlignment="1">
      <alignment horizontal="left" vertical="center" wrapText="1"/>
    </xf>
    <xf numFmtId="0" fontId="0" fillId="10" borderId="2" xfId="0" applyFill="1" applyBorder="1"/>
    <xf numFmtId="167" fontId="8" fillId="4" borderId="2" xfId="0" applyNumberFormat="1" applyFont="1" applyFill="1" applyBorder="1" applyAlignment="1">
      <alignment horizontal="right" vertical="center"/>
    </xf>
    <xf numFmtId="0" fontId="0" fillId="4" borderId="2" xfId="0" applyFill="1" applyBorder="1"/>
    <xf numFmtId="164" fontId="8" fillId="9" borderId="2" xfId="0" applyNumberFormat="1" applyFont="1" applyFill="1" applyBorder="1" applyAlignment="1">
      <alignment horizontal="right" vertical="center"/>
    </xf>
    <xf numFmtId="0" fontId="0" fillId="9" borderId="2" xfId="0" applyFill="1" applyBorder="1"/>
    <xf numFmtId="0" fontId="31" fillId="0" borderId="0" xfId="0" applyFont="1"/>
    <xf numFmtId="0" fontId="32" fillId="0" borderId="0" xfId="0" applyFont="1"/>
    <xf numFmtId="0" fontId="33" fillId="2" borderId="0" xfId="0" applyFont="1" applyFill="1" applyAlignment="1">
      <alignment horizontal="center"/>
    </xf>
    <xf numFmtId="0" fontId="30" fillId="0" borderId="0" xfId="0" applyFont="1"/>
    <xf numFmtId="0" fontId="17" fillId="6" borderId="0" xfId="0" applyFont="1" applyFill="1" applyAlignment="1">
      <alignment horizontal="center"/>
    </xf>
    <xf numFmtId="168" fontId="16" fillId="0" borderId="0" xfId="0" applyNumberFormat="1" applyFont="1" applyAlignment="1">
      <alignment horizontal="center"/>
    </xf>
    <xf numFmtId="0" fontId="30" fillId="9" borderId="0" xfId="0" applyFont="1" applyFill="1"/>
    <xf numFmtId="0" fontId="17" fillId="9" borderId="0" xfId="0" applyFont="1" applyFill="1" applyAlignment="1">
      <alignment horizontal="center"/>
    </xf>
    <xf numFmtId="0" fontId="34" fillId="0" borderId="0" xfId="0" applyFont="1"/>
    <xf numFmtId="0" fontId="35" fillId="14" borderId="0" xfId="0" applyFont="1" applyFill="1" applyAlignment="1">
      <alignment horizontal="center" vertical="center" wrapText="1"/>
    </xf>
    <xf numFmtId="0" fontId="35" fillId="12" borderId="0" xfId="0" applyFont="1" applyFill="1" applyAlignment="1">
      <alignment horizontal="center" vertical="center" wrapText="1"/>
    </xf>
    <xf numFmtId="165" fontId="36" fillId="12" borderId="0" xfId="0" applyNumberFormat="1" applyFont="1" applyFill="1" applyAlignment="1">
      <alignment horizontal="center" vertical="center" wrapText="1"/>
    </xf>
    <xf numFmtId="0" fontId="35" fillId="13" borderId="0" xfId="0" applyFont="1" applyFill="1" applyAlignment="1">
      <alignment horizontal="center" vertical="center" wrapText="1"/>
    </xf>
    <xf numFmtId="0" fontId="0" fillId="0" borderId="0" xfId="0" applyAlignment="1">
      <alignment vertical="center" wrapText="1"/>
    </xf>
    <xf numFmtId="9" fontId="0" fillId="0" borderId="0" xfId="0" applyNumberFormat="1" applyAlignment="1">
      <alignment vertical="center" wrapText="1"/>
    </xf>
    <xf numFmtId="165" fontId="14" fillId="0" borderId="0" xfId="0" applyNumberFormat="1" applyFont="1" applyAlignment="1">
      <alignment vertical="center" wrapText="1"/>
    </xf>
    <xf numFmtId="0" fontId="35" fillId="0" borderId="0" xfId="0" applyFont="1" applyAlignment="1">
      <alignment vertical="center" wrapText="1"/>
    </xf>
    <xf numFmtId="0" fontId="35" fillId="0" borderId="0" xfId="0" applyFont="1" applyAlignment="1">
      <alignment horizontal="left" vertical="center" wrapText="1"/>
    </xf>
    <xf numFmtId="165" fontId="14" fillId="0" borderId="0" xfId="0" applyNumberFormat="1" applyFont="1" applyAlignment="1">
      <alignment horizontal="center" vertical="center" wrapText="1"/>
    </xf>
    <xf numFmtId="165" fontId="35" fillId="0" borderId="0" xfId="0" applyNumberFormat="1" applyFont="1" applyAlignment="1">
      <alignment horizontal="center" vertical="center" wrapText="1"/>
    </xf>
    <xf numFmtId="167" fontId="14" fillId="0" borderId="0" xfId="0" applyNumberFormat="1" applyFont="1" applyAlignment="1">
      <alignment vertical="center" wrapText="1"/>
    </xf>
    <xf numFmtId="0" fontId="35" fillId="11" borderId="0" xfId="0" applyFont="1" applyFill="1" applyAlignment="1">
      <alignment vertical="center" wrapText="1"/>
    </xf>
    <xf numFmtId="0" fontId="0" fillId="11" borderId="0" xfId="0" applyFill="1" applyAlignment="1">
      <alignment vertical="center" wrapText="1"/>
    </xf>
    <xf numFmtId="165" fontId="14" fillId="11" borderId="0" xfId="0" applyNumberFormat="1" applyFont="1" applyFill="1" applyAlignment="1">
      <alignment vertical="center" wrapText="1"/>
    </xf>
    <xf numFmtId="165" fontId="0" fillId="0" borderId="0" xfId="0" applyNumberFormat="1" applyAlignment="1">
      <alignment vertical="center" wrapText="1"/>
    </xf>
    <xf numFmtId="0" fontId="37" fillId="7" borderId="2" xfId="0" applyFont="1" applyFill="1" applyBorder="1" applyAlignment="1">
      <alignment horizontal="left" vertical="center" wrapText="1"/>
    </xf>
    <xf numFmtId="0" fontId="38" fillId="7" borderId="2" xfId="0" applyFont="1" applyFill="1" applyBorder="1" applyAlignment="1">
      <alignment horizontal="left" vertical="center" wrapText="1"/>
    </xf>
    <xf numFmtId="0" fontId="37" fillId="5" borderId="2" xfId="0" applyFont="1" applyFill="1" applyBorder="1" applyAlignment="1">
      <alignment horizontal="left" vertical="center" wrapText="1"/>
    </xf>
    <xf numFmtId="0" fontId="38" fillId="5" borderId="2" xfId="0" applyFont="1" applyFill="1" applyBorder="1" applyAlignment="1">
      <alignment horizontal="left" vertical="center" wrapText="1"/>
    </xf>
    <xf numFmtId="0" fontId="12" fillId="15" borderId="0" xfId="0" applyFont="1" applyFill="1" applyAlignment="1">
      <alignment horizontal="left" vertical="center" wrapText="1"/>
    </xf>
    <xf numFmtId="164" fontId="9" fillId="16" borderId="0" xfId="0" applyNumberFormat="1" applyFont="1" applyFill="1" applyAlignment="1">
      <alignment horizontal="right" vertical="center"/>
    </xf>
    <xf numFmtId="0" fontId="11" fillId="15" borderId="0" xfId="0" applyFont="1" applyFill="1" applyAlignment="1">
      <alignment horizontal="left" vertical="center" wrapText="1"/>
    </xf>
    <xf numFmtId="0" fontId="37" fillId="17" borderId="2" xfId="0" applyFont="1" applyFill="1" applyBorder="1" applyAlignment="1">
      <alignment horizontal="left" vertical="center" wrapText="1"/>
    </xf>
    <xf numFmtId="0" fontId="38" fillId="17" borderId="2" xfId="0" applyFont="1" applyFill="1" applyBorder="1" applyAlignment="1">
      <alignment horizontal="left" vertical="center" wrapText="1"/>
    </xf>
    <xf numFmtId="0" fontId="8" fillId="0" borderId="2" xfId="0" applyFont="1" applyBorder="1" applyAlignment="1">
      <alignment vertical="center" wrapText="1"/>
    </xf>
    <xf numFmtId="164" fontId="0" fillId="0" borderId="0" xfId="0" applyNumberFormat="1"/>
    <xf numFmtId="171" fontId="23" fillId="5" borderId="2" xfId="0" applyNumberFormat="1" applyFont="1" applyFill="1" applyBorder="1" applyAlignment="1">
      <alignment horizontal="left" vertical="center" wrapText="1"/>
    </xf>
    <xf numFmtId="172" fontId="16" fillId="0" borderId="0" xfId="0" applyNumberFormat="1" applyFont="1"/>
    <xf numFmtId="10" fontId="14" fillId="11" borderId="0" xfId="0" applyNumberFormat="1" applyFont="1" applyFill="1"/>
    <xf numFmtId="0" fontId="1" fillId="2" borderId="0" xfId="0" applyFont="1" applyFill="1" applyAlignment="1">
      <alignment horizontal="center" vertical="center" wrapText="1"/>
    </xf>
    <xf numFmtId="0" fontId="2" fillId="3" borderId="0" xfId="0" applyFont="1" applyFill="1" applyAlignment="1">
      <alignment horizontal="center" vertical="center" wrapText="1"/>
    </xf>
    <xf numFmtId="0" fontId="3" fillId="4" borderId="0" xfId="0" applyFont="1" applyFill="1" applyAlignment="1">
      <alignment horizontal="center" vertical="center" wrapText="1"/>
    </xf>
    <xf numFmtId="0" fontId="4" fillId="3" borderId="0" xfId="0" applyFont="1" applyFill="1" applyAlignment="1">
      <alignment horizontal="center" vertical="center" wrapText="1"/>
    </xf>
    <xf numFmtId="0" fontId="5" fillId="3" borderId="1"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10" fillId="8" borderId="2" xfId="0" applyFont="1" applyFill="1" applyBorder="1" applyAlignment="1">
      <alignment horizontal="left" vertical="center" wrapText="1"/>
    </xf>
    <xf numFmtId="0" fontId="8" fillId="0" borderId="2" xfId="0" applyFont="1" applyBorder="1" applyAlignment="1">
      <alignment horizontal="left" vertical="center" wrapText="1"/>
    </xf>
    <xf numFmtId="0" fontId="6" fillId="2" borderId="5" xfId="0" applyFont="1" applyFill="1" applyBorder="1" applyAlignment="1">
      <alignment horizontal="center" vertical="center" wrapText="1"/>
    </xf>
    <xf numFmtId="0" fontId="6" fillId="2" borderId="0" xfId="0" applyFont="1" applyFill="1" applyAlignment="1">
      <alignment horizontal="center" vertical="center" wrapText="1"/>
    </xf>
    <xf numFmtId="0" fontId="20" fillId="2" borderId="0" xfId="0" applyFont="1" applyFill="1" applyAlignment="1">
      <alignment horizontal="center" vertical="center" wrapText="1"/>
    </xf>
    <xf numFmtId="0" fontId="21" fillId="4" borderId="0" xfId="0" applyFont="1" applyFill="1" applyAlignment="1">
      <alignment horizontal="center" vertical="center" wrapText="1"/>
    </xf>
    <xf numFmtId="0" fontId="4" fillId="3" borderId="1" xfId="0" applyFont="1" applyFill="1" applyBorder="1" applyAlignment="1">
      <alignment horizontal="left" vertical="center" wrapText="1"/>
    </xf>
    <xf numFmtId="0" fontId="4" fillId="3" borderId="3" xfId="0" applyFont="1" applyFill="1" applyBorder="1" applyAlignment="1">
      <alignment horizontal="left" vertical="center" wrapText="1"/>
    </xf>
    <xf numFmtId="0" fontId="35" fillId="12" borderId="0" xfId="0" applyFont="1" applyFill="1" applyAlignment="1">
      <alignment horizontal="center"/>
    </xf>
    <xf numFmtId="0" fontId="35" fillId="13" borderId="0" xfId="0" applyFont="1" applyFill="1" applyAlignment="1">
      <alignment horizontal="center"/>
    </xf>
    <xf numFmtId="0" fontId="35" fillId="11" borderId="0" xfId="0" applyFont="1" applyFill="1" applyAlignment="1">
      <alignment horizontal="left" vertical="center" wrapText="1"/>
    </xf>
    <xf numFmtId="0" fontId="10" fillId="8" borderId="0" xfId="0" applyFont="1" applyFill="1" applyAlignment="1">
      <alignment horizontal="left" vertical="center" wrapText="1"/>
    </xf>
    <xf numFmtId="0" fontId="0" fillId="0" borderId="0" xfId="0"/>
    <xf numFmtId="0" fontId="39" fillId="8" borderId="1" xfId="0" applyFont="1" applyFill="1" applyBorder="1" applyAlignment="1">
      <alignment horizontal="center" vertical="center" wrapText="1"/>
    </xf>
    <xf numFmtId="0" fontId="37" fillId="5" borderId="2" xfId="0" applyFont="1" applyFill="1" applyBorder="1" applyAlignment="1">
      <alignment horizontal="left" vertical="center" wrapText="1"/>
    </xf>
    <xf numFmtId="0" fontId="37" fillId="7"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FBFBF"/>
      <rgbColor rgb="FF888888"/>
      <rgbColor rgb="FF9999FF"/>
      <rgbColor rgb="FF993366"/>
      <rgbColor rgb="FFFFF2CC"/>
      <rgbColor rgb="FFEBF3FB"/>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D6E4F0"/>
      <rgbColor rgb="FFE2EFDA"/>
      <rgbColor rgb="FFFCE4D6"/>
      <rgbColor rgb="FF95B3D7"/>
      <rgbColor rgb="FFFF99CC"/>
      <rgbColor rgb="FFD9E1F2"/>
      <rgbColor rgb="FFFAC090"/>
      <rgbColor rgb="FF2E75B6"/>
      <rgbColor rgb="FF33CCCC"/>
      <rgbColor rgb="FF99CC00"/>
      <rgbColor rgb="FFFFC000"/>
      <rgbColor rgb="FFFF9900"/>
      <rgbColor rgb="FFFF6600"/>
      <rgbColor rgb="FF595959"/>
      <rgbColor rgb="FFC3D69B"/>
      <rgbColor rgb="FF003366"/>
      <rgbColor rgb="FF339966"/>
      <rgbColor rgb="FF003300"/>
      <rgbColor rgb="FF333300"/>
      <rgbColor rgb="FF7F3F00"/>
      <rgbColor rgb="FF993366"/>
      <rgbColor rgb="FF1F4E79"/>
      <rgbColor rgb="FF37562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7"/>
  <sheetViews>
    <sheetView showGridLines="0" topLeftCell="A28" zoomScaleNormal="100" workbookViewId="0">
      <selection activeCell="B58" sqref="B58"/>
    </sheetView>
  </sheetViews>
  <sheetFormatPr defaultColWidth="8.6328125" defaultRowHeight="14.5" x14ac:dyDescent="0.35"/>
  <cols>
    <col min="1" max="1" width="41.08984375" customWidth="1"/>
    <col min="2" max="3" width="20" customWidth="1"/>
    <col min="4" max="4" width="3" customWidth="1"/>
    <col min="5" max="5" width="32" customWidth="1"/>
    <col min="6" max="6" width="20" customWidth="1"/>
    <col min="7" max="7" width="23.1796875" customWidth="1"/>
  </cols>
  <sheetData>
    <row r="1" spans="1:7" ht="36" customHeight="1" x14ac:dyDescent="0.35">
      <c r="A1" s="99" t="s">
        <v>0</v>
      </c>
      <c r="B1" s="99"/>
      <c r="C1" s="99"/>
      <c r="E1" s="100" t="s">
        <v>1</v>
      </c>
      <c r="F1" s="100"/>
      <c r="G1" s="100"/>
    </row>
    <row r="2" spans="1:7" ht="19.5" customHeight="1" x14ac:dyDescent="0.35">
      <c r="A2" s="101" t="s">
        <v>2</v>
      </c>
      <c r="B2" s="101"/>
      <c r="C2" s="101"/>
      <c r="E2" s="102" t="s">
        <v>3</v>
      </c>
      <c r="F2" s="102"/>
      <c r="G2" s="102"/>
    </row>
    <row r="3" spans="1:7" ht="15.75" customHeight="1" x14ac:dyDescent="0.35">
      <c r="E3" s="103" t="s">
        <v>4</v>
      </c>
      <c r="F3" s="103"/>
      <c r="G3" s="103"/>
    </row>
    <row r="4" spans="1:7" ht="15.75" customHeight="1" x14ac:dyDescent="0.35">
      <c r="A4" s="104" t="s">
        <v>5</v>
      </c>
      <c r="B4" s="104"/>
      <c r="C4" s="104"/>
      <c r="E4" s="5" t="s">
        <v>6</v>
      </c>
      <c r="F4" s="5" t="s">
        <v>7</v>
      </c>
      <c r="G4" s="5" t="s">
        <v>8</v>
      </c>
    </row>
    <row r="5" spans="1:7" ht="15.75" customHeight="1" x14ac:dyDescent="0.35">
      <c r="A5" s="1" t="s">
        <v>9</v>
      </c>
      <c r="B5" s="6" t="s">
        <v>298</v>
      </c>
      <c r="C5" s="7"/>
      <c r="E5" s="8" t="s">
        <v>10</v>
      </c>
      <c r="F5" s="8" t="s">
        <v>11</v>
      </c>
      <c r="G5" s="8" t="s">
        <v>12</v>
      </c>
    </row>
    <row r="6" spans="1:7" ht="15.75" customHeight="1" x14ac:dyDescent="0.35">
      <c r="A6" s="1" t="s">
        <v>13</v>
      </c>
      <c r="B6" s="6" t="s">
        <v>14</v>
      </c>
      <c r="C6" s="7"/>
      <c r="E6" s="5" t="s">
        <v>15</v>
      </c>
      <c r="F6" s="5" t="s">
        <v>16</v>
      </c>
      <c r="G6" s="5" t="s">
        <v>17</v>
      </c>
    </row>
    <row r="7" spans="1:7" ht="15.75" customHeight="1" x14ac:dyDescent="0.35">
      <c r="A7" s="1" t="s">
        <v>18</v>
      </c>
      <c r="B7" s="9">
        <v>46</v>
      </c>
      <c r="C7" s="7"/>
      <c r="E7" s="8" t="s">
        <v>19</v>
      </c>
      <c r="F7" s="8" t="s">
        <v>20</v>
      </c>
      <c r="G7" s="8" t="s">
        <v>21</v>
      </c>
    </row>
    <row r="8" spans="1:7" ht="15.75" customHeight="1" x14ac:dyDescent="0.35">
      <c r="A8" s="1" t="s">
        <v>22</v>
      </c>
      <c r="B8" s="6" t="s">
        <v>23</v>
      </c>
      <c r="C8" s="7"/>
      <c r="E8" s="5" t="s">
        <v>24</v>
      </c>
      <c r="F8" s="5" t="s">
        <v>25</v>
      </c>
      <c r="G8" s="5" t="s">
        <v>21</v>
      </c>
    </row>
    <row r="9" spans="1:7" ht="15.75" customHeight="1" x14ac:dyDescent="0.35">
      <c r="A9" s="1" t="s">
        <v>26</v>
      </c>
      <c r="B9" s="10">
        <v>0</v>
      </c>
      <c r="C9" s="7"/>
      <c r="E9" s="8" t="s">
        <v>27</v>
      </c>
      <c r="F9" s="8" t="s">
        <v>28</v>
      </c>
      <c r="G9" s="8" t="s">
        <v>21</v>
      </c>
    </row>
    <row r="10" spans="1:7" ht="15.75" customHeight="1" x14ac:dyDescent="0.35">
      <c r="E10" s="103"/>
      <c r="F10" s="103"/>
      <c r="G10" s="103"/>
    </row>
    <row r="11" spans="1:7" ht="15.75" customHeight="1" x14ac:dyDescent="0.35">
      <c r="A11" s="104" t="s">
        <v>29</v>
      </c>
      <c r="B11" s="104"/>
      <c r="C11" s="104"/>
      <c r="E11" s="103" t="s">
        <v>30</v>
      </c>
      <c r="F11" s="103"/>
      <c r="G11" s="103"/>
    </row>
    <row r="12" spans="1:7" ht="15.75" customHeight="1" x14ac:dyDescent="0.35">
      <c r="A12" s="105" t="s">
        <v>31</v>
      </c>
      <c r="B12" s="105"/>
      <c r="C12" s="105"/>
      <c r="E12" s="5" t="s">
        <v>32</v>
      </c>
      <c r="F12" s="5" t="s">
        <v>33</v>
      </c>
      <c r="G12" s="5" t="s">
        <v>34</v>
      </c>
    </row>
    <row r="13" spans="1:7" ht="15.75" customHeight="1" x14ac:dyDescent="0.35">
      <c r="A13" s="1" t="s">
        <v>35</v>
      </c>
      <c r="B13" s="10">
        <v>0</v>
      </c>
      <c r="C13" s="11" t="s">
        <v>36</v>
      </c>
      <c r="E13" s="8" t="s">
        <v>37</v>
      </c>
      <c r="F13" s="8" t="s">
        <v>38</v>
      </c>
      <c r="G13" s="8" t="s">
        <v>39</v>
      </c>
    </row>
    <row r="14" spans="1:7" ht="15.75" customHeight="1" x14ac:dyDescent="0.35">
      <c r="A14" s="1" t="s">
        <v>40</v>
      </c>
      <c r="B14" s="10">
        <f>B13*0.115</f>
        <v>0</v>
      </c>
      <c r="C14" s="11" t="s">
        <v>41</v>
      </c>
      <c r="E14" s="5" t="s">
        <v>42</v>
      </c>
      <c r="F14" s="5" t="s">
        <v>43</v>
      </c>
      <c r="G14" s="5" t="s">
        <v>44</v>
      </c>
    </row>
    <row r="15" spans="1:7" ht="15.75" customHeight="1" x14ac:dyDescent="0.35">
      <c r="A15" s="1" t="s">
        <v>45</v>
      </c>
      <c r="B15" s="10">
        <v>0</v>
      </c>
      <c r="C15" s="11" t="s">
        <v>46</v>
      </c>
      <c r="E15" s="8" t="s">
        <v>47</v>
      </c>
      <c r="F15" s="8" t="s">
        <v>48</v>
      </c>
      <c r="G15" s="8" t="s">
        <v>49</v>
      </c>
    </row>
    <row r="16" spans="1:7" ht="15.75" customHeight="1" x14ac:dyDescent="0.35">
      <c r="A16" s="1" t="s">
        <v>50</v>
      </c>
      <c r="B16" s="10"/>
      <c r="C16" s="11" t="s">
        <v>51</v>
      </c>
      <c r="E16" s="5" t="s">
        <v>52</v>
      </c>
      <c r="F16" s="5" t="s">
        <v>53</v>
      </c>
      <c r="G16" s="5" t="s">
        <v>54</v>
      </c>
    </row>
    <row r="17" spans="1:7" ht="15.75" customHeight="1" x14ac:dyDescent="0.35">
      <c r="A17" s="1" t="s">
        <v>55</v>
      </c>
      <c r="B17" s="10">
        <v>0</v>
      </c>
      <c r="C17" s="11" t="s">
        <v>56</v>
      </c>
      <c r="E17" s="103"/>
      <c r="F17" s="103"/>
      <c r="G17" s="103"/>
    </row>
    <row r="18" spans="1:7" ht="15.75" customHeight="1" x14ac:dyDescent="0.35">
      <c r="A18" s="1" t="s">
        <v>57</v>
      </c>
      <c r="B18" s="10">
        <v>0</v>
      </c>
      <c r="C18" s="11" t="s">
        <v>58</v>
      </c>
      <c r="E18" s="103" t="s">
        <v>59</v>
      </c>
      <c r="F18" s="103"/>
      <c r="G18" s="103"/>
    </row>
    <row r="19" spans="1:7" ht="15.75" customHeight="1" x14ac:dyDescent="0.35">
      <c r="A19" s="1" t="s">
        <v>60</v>
      </c>
      <c r="B19" s="10">
        <v>0</v>
      </c>
      <c r="C19" s="11" t="s">
        <v>61</v>
      </c>
      <c r="E19" s="8" t="s">
        <v>62</v>
      </c>
      <c r="F19" s="8" t="s">
        <v>63</v>
      </c>
      <c r="G19" s="8"/>
    </row>
    <row r="20" spans="1:7" ht="25" customHeight="1" x14ac:dyDescent="0.35">
      <c r="A20" s="1" t="s">
        <v>64</v>
      </c>
      <c r="B20" s="10">
        <v>0</v>
      </c>
      <c r="C20" s="11" t="s">
        <v>65</v>
      </c>
      <c r="E20" s="5" t="s">
        <v>66</v>
      </c>
      <c r="F20" s="5" t="s">
        <v>67</v>
      </c>
      <c r="G20" s="5"/>
    </row>
    <row r="21" spans="1:7" ht="15.75" customHeight="1" x14ac:dyDescent="0.35">
      <c r="A21" s="1" t="s">
        <v>68</v>
      </c>
      <c r="B21" s="10">
        <v>0</v>
      </c>
      <c r="C21" s="11" t="s">
        <v>69</v>
      </c>
      <c r="E21" s="103"/>
      <c r="F21" s="103"/>
      <c r="G21" s="103"/>
    </row>
    <row r="22" spans="1:7" ht="15.75" customHeight="1" x14ac:dyDescent="0.35">
      <c r="A22" s="1" t="s">
        <v>70</v>
      </c>
      <c r="B22" s="10">
        <v>0</v>
      </c>
      <c r="C22" s="11" t="s">
        <v>71</v>
      </c>
      <c r="E22" s="103" t="s">
        <v>72</v>
      </c>
      <c r="F22" s="103"/>
      <c r="G22" s="103"/>
    </row>
    <row r="23" spans="1:7" ht="23.25" customHeight="1" x14ac:dyDescent="0.35">
      <c r="A23" s="89"/>
      <c r="B23" s="90"/>
      <c r="C23" s="91"/>
      <c r="E23" s="8" t="s">
        <v>73</v>
      </c>
      <c r="F23" s="8" t="s">
        <v>74</v>
      </c>
      <c r="G23" s="8" t="s">
        <v>75</v>
      </c>
    </row>
    <row r="24" spans="1:7" ht="15.75" customHeight="1" x14ac:dyDescent="0.35"/>
    <row r="25" spans="1:7" ht="18" customHeight="1" x14ac:dyDescent="0.35">
      <c r="A25" s="1" t="s">
        <v>76</v>
      </c>
      <c r="B25" s="10">
        <v>0</v>
      </c>
      <c r="C25" s="11" t="s">
        <v>77</v>
      </c>
      <c r="E25" s="5" t="s">
        <v>78</v>
      </c>
      <c r="F25" s="5" t="s">
        <v>79</v>
      </c>
      <c r="G25" s="5" t="s">
        <v>80</v>
      </c>
    </row>
    <row r="26" spans="1:7" ht="18" customHeight="1" x14ac:dyDescent="0.35">
      <c r="E26" s="4"/>
      <c r="F26" s="14"/>
      <c r="G26" s="14"/>
    </row>
    <row r="27" spans="1:7" ht="18" customHeight="1" x14ac:dyDescent="0.35">
      <c r="A27" s="3" t="s">
        <v>81</v>
      </c>
      <c r="B27" s="14"/>
      <c r="C27" s="15"/>
      <c r="E27" s="4" t="s">
        <v>82</v>
      </c>
      <c r="F27" s="14"/>
      <c r="G27" s="14"/>
    </row>
    <row r="28" spans="1:7" ht="18" customHeight="1" x14ac:dyDescent="0.35">
      <c r="A28" s="1" t="s">
        <v>83</v>
      </c>
      <c r="B28" s="10">
        <v>0</v>
      </c>
      <c r="C28" s="7"/>
      <c r="E28" s="8" t="s">
        <v>84</v>
      </c>
      <c r="F28" s="8" t="s">
        <v>33</v>
      </c>
      <c r="G28" s="8" t="s">
        <v>85</v>
      </c>
    </row>
    <row r="29" spans="1:7" ht="22.5" customHeight="1" x14ac:dyDescent="0.35">
      <c r="A29" s="1" t="s">
        <v>299</v>
      </c>
      <c r="B29" s="6" t="s">
        <v>23</v>
      </c>
      <c r="C29" s="7"/>
      <c r="E29" s="5" t="s">
        <v>86</v>
      </c>
      <c r="F29" s="5" t="s">
        <v>87</v>
      </c>
      <c r="G29" s="5"/>
    </row>
    <row r="30" spans="1:7" ht="18" customHeight="1" x14ac:dyDescent="0.35">
      <c r="A30" s="106" t="s">
        <v>88</v>
      </c>
      <c r="B30" s="106"/>
      <c r="C30" s="106"/>
      <c r="E30" s="8" t="s">
        <v>89</v>
      </c>
      <c r="F30" s="8" t="s">
        <v>11</v>
      </c>
      <c r="G30" s="8" t="s">
        <v>90</v>
      </c>
    </row>
    <row r="31" spans="1:7" ht="22.5" customHeight="1" x14ac:dyDescent="0.35">
      <c r="A31" s="1" t="s">
        <v>91</v>
      </c>
      <c r="B31" s="10">
        <v>0</v>
      </c>
      <c r="C31" s="7"/>
    </row>
    <row r="32" spans="1:7" ht="18" customHeight="1" x14ac:dyDescent="0.35">
      <c r="A32" s="1" t="s">
        <v>92</v>
      </c>
      <c r="B32" s="10">
        <v>0</v>
      </c>
      <c r="C32" s="7"/>
    </row>
    <row r="33" spans="1:4" ht="21.75" customHeight="1" x14ac:dyDescent="0.35">
      <c r="A33" s="1" t="s">
        <v>93</v>
      </c>
      <c r="B33" s="10">
        <v>0</v>
      </c>
      <c r="C33" s="7"/>
    </row>
    <row r="34" spans="1:4" ht="18" customHeight="1" x14ac:dyDescent="0.35">
      <c r="A34" s="1" t="s">
        <v>94</v>
      </c>
      <c r="B34" s="10">
        <v>0</v>
      </c>
      <c r="C34" s="7"/>
    </row>
    <row r="35" spans="1:4" ht="18" customHeight="1" x14ac:dyDescent="0.35">
      <c r="A35" s="1" t="s">
        <v>95</v>
      </c>
      <c r="B35" s="10">
        <v>0</v>
      </c>
      <c r="C35" s="7"/>
    </row>
    <row r="36" spans="1:4" ht="18" customHeight="1" x14ac:dyDescent="0.35"/>
    <row r="37" spans="1:4" ht="18" customHeight="1" x14ac:dyDescent="0.35">
      <c r="A37" s="3" t="s">
        <v>96</v>
      </c>
      <c r="B37" s="14"/>
      <c r="C37" s="15"/>
    </row>
    <row r="38" spans="1:4" ht="18" customHeight="1" x14ac:dyDescent="0.35">
      <c r="A38" s="1" t="s">
        <v>97</v>
      </c>
      <c r="B38" s="10">
        <v>0</v>
      </c>
      <c r="C38" s="7"/>
    </row>
    <row r="39" spans="1:4" ht="18" customHeight="1" x14ac:dyDescent="0.35">
      <c r="A39" s="1" t="s">
        <v>98</v>
      </c>
      <c r="B39" s="10">
        <v>0</v>
      </c>
      <c r="C39" s="7"/>
    </row>
    <row r="40" spans="1:4" ht="18" customHeight="1" x14ac:dyDescent="0.35">
      <c r="A40" s="1" t="s">
        <v>99</v>
      </c>
      <c r="B40" s="10">
        <v>0</v>
      </c>
      <c r="C40" s="7"/>
    </row>
    <row r="41" spans="1:4" ht="18" customHeight="1" x14ac:dyDescent="0.35"/>
    <row r="42" spans="1:4" ht="18" customHeight="1" x14ac:dyDescent="0.35">
      <c r="A42" s="107" t="s">
        <v>306</v>
      </c>
      <c r="B42" s="108"/>
      <c r="C42" s="108"/>
      <c r="D42" s="108"/>
    </row>
    <row r="43" spans="1:4" ht="18" customHeight="1" x14ac:dyDescent="0.35">
      <c r="A43" s="18" t="s">
        <v>305</v>
      </c>
      <c r="B43" s="19">
        <v>30000</v>
      </c>
    </row>
    <row r="44" spans="1:4" ht="18" customHeight="1" x14ac:dyDescent="0.35">
      <c r="A44" s="18" t="s">
        <v>307</v>
      </c>
      <c r="B44" s="19">
        <v>90000</v>
      </c>
    </row>
    <row r="45" spans="1:4" ht="18" customHeight="1" x14ac:dyDescent="0.35">
      <c r="A45" s="18" t="s">
        <v>313</v>
      </c>
      <c r="B45" s="19">
        <v>60000</v>
      </c>
      <c r="C45" s="18" t="s">
        <v>100</v>
      </c>
      <c r="D45" s="17"/>
    </row>
    <row r="46" spans="1:4" ht="18" customHeight="1" x14ac:dyDescent="0.35">
      <c r="A46" s="18" t="s">
        <v>320</v>
      </c>
      <c r="B46" s="20">
        <v>2.5000000000000001E-2</v>
      </c>
      <c r="C46" s="18" t="s">
        <v>101</v>
      </c>
      <c r="D46" s="17" t="s">
        <v>321</v>
      </c>
    </row>
    <row r="47" spans="1:4" ht="18" customHeight="1" x14ac:dyDescent="0.35">
      <c r="A47" s="18" t="s">
        <v>319</v>
      </c>
      <c r="B47" s="21">
        <v>8</v>
      </c>
      <c r="C47" s="18" t="s">
        <v>102</v>
      </c>
      <c r="D47" s="17" t="s">
        <v>314</v>
      </c>
    </row>
  </sheetData>
  <mergeCells count="16">
    <mergeCell ref="A30:C30"/>
    <mergeCell ref="A42:D42"/>
    <mergeCell ref="E17:G17"/>
    <mergeCell ref="E18:G18"/>
    <mergeCell ref="E21:G21"/>
    <mergeCell ref="E22:G22"/>
    <mergeCell ref="A4:C4"/>
    <mergeCell ref="E10:G10"/>
    <mergeCell ref="A11:C11"/>
    <mergeCell ref="E11:G11"/>
    <mergeCell ref="A12:C12"/>
    <mergeCell ref="A1:C1"/>
    <mergeCell ref="E1:G1"/>
    <mergeCell ref="A2:C2"/>
    <mergeCell ref="E2:G2"/>
    <mergeCell ref="E3:G3"/>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96"/>
  <sheetViews>
    <sheetView showGridLines="0" zoomScaleNormal="100" workbookViewId="0">
      <selection activeCell="E71" sqref="E71"/>
    </sheetView>
  </sheetViews>
  <sheetFormatPr defaultColWidth="8.6328125" defaultRowHeight="14.5" x14ac:dyDescent="0.35"/>
  <cols>
    <col min="1" max="1" width="62.81640625" customWidth="1"/>
    <col min="2" max="3" width="20" customWidth="1"/>
    <col min="4" max="4" width="3" customWidth="1"/>
    <col min="5" max="5" width="65" customWidth="1"/>
  </cols>
  <sheetData>
    <row r="1" spans="1:5" ht="31.5" customHeight="1" x14ac:dyDescent="0.35">
      <c r="A1" s="109" t="s">
        <v>103</v>
      </c>
      <c r="B1" s="109"/>
      <c r="C1" s="109"/>
    </row>
    <row r="2" spans="1:5" ht="18" customHeight="1" x14ac:dyDescent="0.35">
      <c r="A2" s="110" t="s">
        <v>104</v>
      </c>
      <c r="B2" s="110"/>
      <c r="C2" s="110"/>
    </row>
    <row r="3" spans="1:5" ht="30" customHeight="1" x14ac:dyDescent="0.35">
      <c r="A3" s="22" t="s">
        <v>105</v>
      </c>
      <c r="B3" s="22" t="s">
        <v>106</v>
      </c>
      <c r="C3" s="22" t="s">
        <v>107</v>
      </c>
      <c r="D3" s="7"/>
      <c r="E3" s="22" t="s">
        <v>108</v>
      </c>
    </row>
    <row r="4" spans="1:5" ht="19.5" customHeight="1" x14ac:dyDescent="0.35">
      <c r="A4" s="111" t="s">
        <v>109</v>
      </c>
      <c r="B4" s="112"/>
      <c r="C4" s="112"/>
      <c r="D4" s="112"/>
      <c r="E4" s="112"/>
    </row>
    <row r="5" spans="1:5" ht="18" customHeight="1" x14ac:dyDescent="0.35">
      <c r="A5" s="24" t="s">
        <v>110</v>
      </c>
      <c r="B5" s="25">
        <f>Inputs!B13</f>
        <v>0</v>
      </c>
      <c r="C5" s="25">
        <f>Inputs!B13</f>
        <v>0</v>
      </c>
      <c r="D5" s="7"/>
      <c r="E5" s="26"/>
    </row>
    <row r="6" spans="1:5" ht="18" customHeight="1" x14ac:dyDescent="0.35">
      <c r="A6" s="24" t="s">
        <v>111</v>
      </c>
      <c r="B6" s="25">
        <f>Inputs!B14</f>
        <v>0</v>
      </c>
      <c r="C6" s="25">
        <f>Inputs!B14</f>
        <v>0</v>
      </c>
      <c r="D6" s="7"/>
      <c r="E6" s="26" t="s">
        <v>112</v>
      </c>
    </row>
    <row r="7" spans="1:5" ht="18" customHeight="1" x14ac:dyDescent="0.35">
      <c r="A7" s="24" t="s">
        <v>113</v>
      </c>
      <c r="B7" s="25">
        <f>Inputs!B16</f>
        <v>0</v>
      </c>
      <c r="C7" s="25">
        <f>Inputs!B16</f>
        <v>0</v>
      </c>
      <c r="D7" s="7"/>
      <c r="E7" s="26"/>
    </row>
    <row r="8" spans="1:5" ht="18" customHeight="1" x14ac:dyDescent="0.35">
      <c r="A8" s="24" t="s">
        <v>55</v>
      </c>
      <c r="B8" s="25">
        <f>Inputs!B17</f>
        <v>0</v>
      </c>
      <c r="C8" s="25">
        <f>Inputs!B17</f>
        <v>0</v>
      </c>
      <c r="D8" s="7"/>
      <c r="E8" s="26"/>
    </row>
    <row r="9" spans="1:5" ht="18" customHeight="1" x14ac:dyDescent="0.35">
      <c r="A9" s="24" t="s">
        <v>114</v>
      </c>
      <c r="B9" s="25">
        <f>Inputs!B18</f>
        <v>0</v>
      </c>
      <c r="C9" s="25">
        <f>Inputs!B18</f>
        <v>0</v>
      </c>
      <c r="D9" s="7"/>
      <c r="E9" s="26" t="s">
        <v>115</v>
      </c>
    </row>
    <row r="10" spans="1:5" ht="18" customHeight="1" x14ac:dyDescent="0.35">
      <c r="A10" s="24" t="s">
        <v>60</v>
      </c>
      <c r="B10" s="25">
        <f>Inputs!B19</f>
        <v>0</v>
      </c>
      <c r="C10" s="25">
        <f>Inputs!B19</f>
        <v>0</v>
      </c>
      <c r="D10" s="7"/>
      <c r="E10" s="26"/>
    </row>
    <row r="11" spans="1:5" ht="18" customHeight="1" x14ac:dyDescent="0.35">
      <c r="A11" s="24" t="s">
        <v>116</v>
      </c>
      <c r="B11" s="27">
        <f>Inputs!B20</f>
        <v>0</v>
      </c>
      <c r="C11" s="28">
        <f>IF(Inputs!B20&lt;0, IF(Inputs!#REF!="New Residential", Inputs!B20, 0), Inputs!B20)</f>
        <v>0</v>
      </c>
      <c r="D11" s="7"/>
      <c r="E11" s="26" t="s">
        <v>117</v>
      </c>
    </row>
    <row r="12" spans="1:5" ht="18" customHeight="1" x14ac:dyDescent="0.35">
      <c r="A12" s="24" t="s">
        <v>118</v>
      </c>
      <c r="B12" s="25">
        <f>Inputs!B21</f>
        <v>0</v>
      </c>
      <c r="C12" s="25">
        <f>Inputs!B21</f>
        <v>0</v>
      </c>
      <c r="D12" s="7"/>
      <c r="E12" s="26"/>
    </row>
    <row r="13" spans="1:5" ht="18" customHeight="1" x14ac:dyDescent="0.35">
      <c r="A13" s="24" t="s">
        <v>119</v>
      </c>
      <c r="B13" s="25">
        <f>Inputs!B22</f>
        <v>0</v>
      </c>
      <c r="C13" s="25">
        <f>Inputs!B22</f>
        <v>0</v>
      </c>
      <c r="D13" s="7"/>
      <c r="E13" s="26" t="s">
        <v>120</v>
      </c>
    </row>
    <row r="14" spans="1:5" ht="18" customHeight="1" x14ac:dyDescent="0.35">
      <c r="A14" s="24" t="s">
        <v>300</v>
      </c>
      <c r="B14" s="25">
        <f>Inputs!B45</f>
        <v>60000</v>
      </c>
      <c r="C14" s="25">
        <f>Inputs!B45</f>
        <v>60000</v>
      </c>
      <c r="D14" s="7"/>
      <c r="E14" s="26"/>
    </row>
    <row r="15" spans="1:5" ht="18" customHeight="1" x14ac:dyDescent="0.35">
      <c r="A15" s="24" t="s">
        <v>121</v>
      </c>
      <c r="B15" s="29">
        <f>0</f>
        <v>0</v>
      </c>
      <c r="C15" s="29">
        <f>0</f>
        <v>0</v>
      </c>
      <c r="D15" s="7"/>
      <c r="E15" s="26" t="s">
        <v>122</v>
      </c>
    </row>
    <row r="16" spans="1:5" ht="18" customHeight="1" x14ac:dyDescent="0.35">
      <c r="A16" s="24" t="s">
        <v>76</v>
      </c>
      <c r="B16" s="30">
        <f>Inputs!B25</f>
        <v>0</v>
      </c>
      <c r="C16" s="30">
        <f>Inputs!B25</f>
        <v>0</v>
      </c>
      <c r="D16" s="7"/>
      <c r="E16" s="26"/>
    </row>
    <row r="17" spans="1:7" ht="25.5" customHeight="1" x14ac:dyDescent="0.35">
      <c r="A17" s="31" t="s">
        <v>303</v>
      </c>
      <c r="B17" s="32">
        <f>SUM(B5,B7:B14,B15,B16)</f>
        <v>60000</v>
      </c>
      <c r="C17" s="32">
        <f>SUM(C5,C7:C14,C15,C16)</f>
        <v>60000</v>
      </c>
      <c r="D17" s="7"/>
      <c r="E17" s="26"/>
    </row>
    <row r="18" spans="1:7" ht="19.5" customHeight="1" x14ac:dyDescent="0.35">
      <c r="A18" s="111" t="s">
        <v>123</v>
      </c>
      <c r="B18" s="111"/>
      <c r="C18" s="111"/>
      <c r="D18" s="111"/>
      <c r="E18" s="111"/>
    </row>
    <row r="19" spans="1:7" ht="18" customHeight="1" x14ac:dyDescent="0.35">
      <c r="A19" s="24" t="s">
        <v>124</v>
      </c>
      <c r="B19" s="30">
        <f>Inputs!B28</f>
        <v>0</v>
      </c>
      <c r="C19" s="29">
        <f>IF(Inputs!B29="Yes",MAX(Inputs!B28,1000),Inputs!B28)</f>
        <v>0</v>
      </c>
      <c r="D19" s="7"/>
      <c r="E19" s="26" t="s">
        <v>125</v>
      </c>
    </row>
    <row r="20" spans="1:7" ht="18" customHeight="1" x14ac:dyDescent="0.35">
      <c r="A20" s="24" t="s">
        <v>126</v>
      </c>
      <c r="B20" s="30">
        <f>Inputs!B30</f>
        <v>0</v>
      </c>
      <c r="C20" s="30">
        <f>Inputs!B30</f>
        <v>0</v>
      </c>
      <c r="D20" s="7"/>
      <c r="E20" s="26"/>
    </row>
    <row r="21" spans="1:7" ht="18" customHeight="1" x14ac:dyDescent="0.35">
      <c r="A21" s="24" t="s">
        <v>91</v>
      </c>
      <c r="B21" s="30">
        <f>Inputs!B31</f>
        <v>0</v>
      </c>
      <c r="C21" s="30">
        <f>Inputs!B31</f>
        <v>0</v>
      </c>
      <c r="D21" s="7"/>
      <c r="E21" s="26"/>
    </row>
    <row r="22" spans="1:7" ht="18" customHeight="1" x14ac:dyDescent="0.35">
      <c r="A22" s="24" t="s">
        <v>127</v>
      </c>
      <c r="B22" s="30">
        <f>Inputs!B32</f>
        <v>0</v>
      </c>
      <c r="C22" s="30">
        <f>Inputs!B32</f>
        <v>0</v>
      </c>
      <c r="D22" s="7"/>
      <c r="E22" s="26"/>
    </row>
    <row r="23" spans="1:7" ht="18" customHeight="1" x14ac:dyDescent="0.35">
      <c r="A23" s="24" t="s">
        <v>93</v>
      </c>
      <c r="B23" s="30">
        <f>Inputs!B33</f>
        <v>0</v>
      </c>
      <c r="C23" s="30">
        <f>Inputs!B33</f>
        <v>0</v>
      </c>
      <c r="D23" s="7"/>
      <c r="E23" s="26" t="s">
        <v>128</v>
      </c>
    </row>
    <row r="24" spans="1:7" ht="18" customHeight="1" x14ac:dyDescent="0.35">
      <c r="A24" s="24" t="s">
        <v>129</v>
      </c>
      <c r="B24" s="30">
        <f>Inputs!B34</f>
        <v>0</v>
      </c>
      <c r="C24" s="30">
        <f>Inputs!B34</f>
        <v>0</v>
      </c>
      <c r="D24" s="7"/>
      <c r="E24" s="96"/>
    </row>
    <row r="25" spans="1:7" ht="19.5" customHeight="1" x14ac:dyDescent="0.35">
      <c r="A25" s="24" t="s">
        <v>301</v>
      </c>
      <c r="B25" s="30">
        <f>B14*0.5</f>
        <v>30000</v>
      </c>
      <c r="C25" s="30">
        <f>C69</f>
        <v>6552.0869252975317</v>
      </c>
      <c r="D25" s="7"/>
      <c r="E25" s="26" t="s">
        <v>302</v>
      </c>
      <c r="G25" s="95"/>
    </row>
    <row r="26" spans="1:7" ht="18" customHeight="1" x14ac:dyDescent="0.35">
      <c r="A26" s="24" t="s">
        <v>95</v>
      </c>
      <c r="B26" s="30">
        <f>Inputs!B35</f>
        <v>0</v>
      </c>
      <c r="C26" s="30">
        <f>Inputs!B35</f>
        <v>0</v>
      </c>
      <c r="D26" s="7"/>
      <c r="E26" s="26"/>
    </row>
    <row r="27" spans="1:7" ht="18" customHeight="1" x14ac:dyDescent="0.35">
      <c r="A27" s="31" t="s">
        <v>130</v>
      </c>
      <c r="B27" s="32">
        <f>SUM(B19:B26)</f>
        <v>30000</v>
      </c>
      <c r="C27" s="32">
        <f>SUM(C19:C26)</f>
        <v>6552.0869252975317</v>
      </c>
      <c r="D27" s="7"/>
      <c r="E27" s="26"/>
    </row>
    <row r="28" spans="1:7" ht="19.5" customHeight="1" x14ac:dyDescent="0.35">
      <c r="A28" s="111" t="s">
        <v>131</v>
      </c>
      <c r="B28" s="111"/>
      <c r="C28" s="111"/>
      <c r="D28" s="111"/>
      <c r="E28" s="111"/>
    </row>
    <row r="29" spans="1:7" ht="18" customHeight="1" x14ac:dyDescent="0.35">
      <c r="A29" s="31" t="s">
        <v>132</v>
      </c>
      <c r="B29" s="32">
        <f>B17-B27</f>
        <v>30000</v>
      </c>
      <c r="C29" s="32">
        <f>C17-C27</f>
        <v>53447.913074702468</v>
      </c>
      <c r="D29" s="7"/>
      <c r="E29" s="26"/>
    </row>
    <row r="30" spans="1:7" ht="19.5" customHeight="1" x14ac:dyDescent="0.35">
      <c r="A30" s="111" t="s">
        <v>133</v>
      </c>
      <c r="B30" s="111"/>
      <c r="C30" s="111"/>
      <c r="D30" s="111"/>
      <c r="E30" s="111"/>
    </row>
    <row r="31" spans="1:7" ht="28.5" customHeight="1" x14ac:dyDescent="0.35">
      <c r="A31" s="24" t="s">
        <v>134</v>
      </c>
      <c r="B31" s="25">
        <f>IF(B29&lt;=0,0,IF(B29&lt;=18200,0,IF(B29&lt;=45000,(B29-18200)*0.16,IF(B29&lt;=135000,4288+(B29-45000)*0.3,IF(B29&lt;=190000,31288+(B29-135000)*0.37,51688+(B29-190000)*0.45)))))</f>
        <v>1888</v>
      </c>
      <c r="C31" s="25">
        <f>IF(C29&lt;=0,0,IF(C29&lt;=18200,0,IF(C29&lt;=45000,(C29-18200)*0.15,IF(C29&lt;=135000,4020+(C29-45000)*0.3,IF(C29&lt;=190000,31020+(C29-135000)*0.37,51370+(C29-190000)*0.45)))))</f>
        <v>6554.3739224107403</v>
      </c>
      <c r="D31" s="7"/>
      <c r="E31" s="26" t="s">
        <v>135</v>
      </c>
    </row>
    <row r="32" spans="1:7" ht="19.5" customHeight="1" x14ac:dyDescent="0.35">
      <c r="A32" s="111" t="s">
        <v>136</v>
      </c>
      <c r="B32" s="111"/>
      <c r="C32" s="111"/>
      <c r="D32" s="111"/>
      <c r="E32" s="111"/>
    </row>
    <row r="33" spans="1:5" ht="18" customHeight="1" x14ac:dyDescent="0.35">
      <c r="A33" s="24" t="s">
        <v>137</v>
      </c>
      <c r="B33" s="25">
        <f>IF(B29&lt;=0,0,IF(B29&lt;=37500,700,IF(B29&lt;=45000,700-(B29-37500)*0.015,IF(B29&lt;=66667,325-(B29-45000)*0.015,0))))</f>
        <v>700</v>
      </c>
      <c r="C33" s="25">
        <f>IF(C29&lt;=0,0,IF(C29&lt;=37500,700,IF(C29&lt;=45000,700-(C29-37500)*0.015,IF(C29&lt;=66667,325-(C29-45000)*0.015,0))))</f>
        <v>198.281303879463</v>
      </c>
      <c r="D33" s="7"/>
      <c r="E33" s="26" t="s">
        <v>138</v>
      </c>
    </row>
    <row r="34" spans="1:5" ht="18" customHeight="1" x14ac:dyDescent="0.35">
      <c r="A34" s="24" t="s">
        <v>139</v>
      </c>
      <c r="B34" s="25">
        <f>IF(Inputs!B7&gt;=67,IF(B29&lt;=32279,2230,IF(B29&lt;=50119,MAX(0,2230-(B29-32279)*0.125),0)),0)</f>
        <v>0</v>
      </c>
      <c r="C34" s="25">
        <f>IF(Inputs!B7&gt;=67,IF(C29&lt;=32279,2230,IF(C29&lt;=50119,MAX(0,2230-(C29-32279)*0.125),0)),0)</f>
        <v>0</v>
      </c>
      <c r="D34" s="7"/>
      <c r="E34" s="26" t="s">
        <v>140</v>
      </c>
    </row>
    <row r="35" spans="1:5" ht="18" customHeight="1" x14ac:dyDescent="0.35">
      <c r="A35" s="24" t="s">
        <v>141</v>
      </c>
      <c r="B35" s="25">
        <f>Inputs!B18</f>
        <v>0</v>
      </c>
      <c r="C35" s="25">
        <f>Inputs!B18</f>
        <v>0</v>
      </c>
      <c r="D35" s="7"/>
      <c r="E35" s="26" t="s">
        <v>142</v>
      </c>
    </row>
    <row r="36" spans="1:5" ht="22.5" customHeight="1" x14ac:dyDescent="0.35">
      <c r="A36" s="24" t="s">
        <v>143</v>
      </c>
      <c r="B36" s="25">
        <f>0</f>
        <v>0</v>
      </c>
      <c r="C36" s="25">
        <f>0</f>
        <v>0</v>
      </c>
      <c r="D36" s="7"/>
      <c r="E36" s="26" t="s">
        <v>144</v>
      </c>
    </row>
    <row r="37" spans="1:5" ht="18" customHeight="1" x14ac:dyDescent="0.35">
      <c r="A37" s="31" t="s">
        <v>145</v>
      </c>
      <c r="B37" s="32">
        <f>SUM(B33:B36)</f>
        <v>700</v>
      </c>
      <c r="C37" s="32">
        <f>SUM(C33:C36)</f>
        <v>198.281303879463</v>
      </c>
      <c r="D37" s="7"/>
      <c r="E37" s="26"/>
    </row>
    <row r="38" spans="1:5" ht="19.5" customHeight="1" x14ac:dyDescent="0.35">
      <c r="A38" s="111" t="s">
        <v>146</v>
      </c>
      <c r="B38" s="111"/>
      <c r="C38" s="111"/>
      <c r="D38" s="111"/>
      <c r="E38" s="111"/>
    </row>
    <row r="39" spans="1:5" ht="18" customHeight="1" x14ac:dyDescent="0.35">
      <c r="A39" s="24" t="s">
        <v>147</v>
      </c>
      <c r="B39" s="25">
        <f>IF(B29&lt;=28011,0,IF(B29&lt;=35014,(B29-28011)*0.1,B29*0.02))</f>
        <v>198.9</v>
      </c>
      <c r="C39" s="25">
        <f>IF(C29&lt;=28011,0,IF(C29&lt;=35014,(C29-28011)*0.1,C29*0.02))</f>
        <v>1068.9582614940493</v>
      </c>
      <c r="D39" s="7"/>
      <c r="E39" s="26" t="s">
        <v>148</v>
      </c>
    </row>
    <row r="40" spans="1:5" ht="18" customHeight="1" x14ac:dyDescent="0.35">
      <c r="A40" s="24" t="s">
        <v>149</v>
      </c>
      <c r="B40" s="25">
        <f>IF(Inputs!B8="Yes",0,IF(B29&gt;144001,B29*0.015,IF(B29&gt;108001,B29*0.0125,IF(B29&gt;93001,B29*0.01,0))))</f>
        <v>0</v>
      </c>
      <c r="C40" s="25">
        <f>IF(Inputs!B8="Yes",0,IF(C29&gt;144001,C29*0.015,IF(C29&gt;108001,C29*0.0125,IF(C29&gt;93001,C29*0.01,0))))</f>
        <v>0</v>
      </c>
      <c r="D40" s="7"/>
      <c r="E40" s="26" t="s">
        <v>150</v>
      </c>
    </row>
    <row r="41" spans="1:5" ht="18" customHeight="1" x14ac:dyDescent="0.35">
      <c r="A41" s="31" t="s">
        <v>151</v>
      </c>
      <c r="B41" s="32">
        <f>B39+B40</f>
        <v>198.9</v>
      </c>
      <c r="C41" s="32">
        <f>C39+C40</f>
        <v>1068.9582614940493</v>
      </c>
      <c r="D41" s="7"/>
      <c r="E41" s="26"/>
    </row>
    <row r="42" spans="1:5" ht="19.5" customHeight="1" x14ac:dyDescent="0.35">
      <c r="A42" s="111" t="s">
        <v>152</v>
      </c>
      <c r="B42" s="111"/>
      <c r="C42" s="111"/>
      <c r="D42" s="111"/>
      <c r="E42" s="111"/>
    </row>
    <row r="43" spans="1:5" ht="18" customHeight="1" x14ac:dyDescent="0.35">
      <c r="A43" s="24" t="s">
        <v>153</v>
      </c>
      <c r="B43" s="29">
        <f>MIN(Inputs!B39,30000)*0.15</f>
        <v>0</v>
      </c>
      <c r="C43" s="29">
        <f>MIN(Inputs!B39,30000)*0.15</f>
        <v>0</v>
      </c>
      <c r="D43" s="7"/>
      <c r="E43" s="26" t="s">
        <v>154</v>
      </c>
    </row>
    <row r="44" spans="1:5" ht="18" customHeight="1" x14ac:dyDescent="0.35">
      <c r="A44" s="24" t="s">
        <v>155</v>
      </c>
      <c r="B44" s="29">
        <f>IF(Inputs!B13+Inputs!B14&gt;250000,MIN(Inputs!B39,30000)*0.15,0)</f>
        <v>0</v>
      </c>
      <c r="C44" s="29">
        <f>IF(Inputs!B13+Inputs!B14&gt;250000,MIN(Inputs!B39,30000)*0.15,0)</f>
        <v>0</v>
      </c>
      <c r="D44" s="7"/>
      <c r="E44" s="26" t="s">
        <v>156</v>
      </c>
    </row>
    <row r="45" spans="1:5" ht="18" customHeight="1" x14ac:dyDescent="0.35">
      <c r="A45" s="31" t="s">
        <v>157</v>
      </c>
      <c r="B45" s="32">
        <f>B43+B44</f>
        <v>0</v>
      </c>
      <c r="C45" s="32">
        <f>C43+C44</f>
        <v>0</v>
      </c>
      <c r="D45" s="7"/>
      <c r="E45" s="26"/>
    </row>
    <row r="46" spans="1:5" ht="19.5" customHeight="1" x14ac:dyDescent="0.35">
      <c r="A46" s="111" t="s">
        <v>158</v>
      </c>
      <c r="B46" s="111"/>
      <c r="C46" s="111"/>
      <c r="D46" s="111"/>
      <c r="E46" s="111"/>
    </row>
    <row r="47" spans="1:5" ht="18" customHeight="1" x14ac:dyDescent="0.35">
      <c r="A47" s="24" t="s">
        <v>134</v>
      </c>
      <c r="B47" s="25">
        <f>B31</f>
        <v>1888</v>
      </c>
      <c r="C47" s="25">
        <f>C31</f>
        <v>6554.3739224107403</v>
      </c>
      <c r="D47" s="7"/>
      <c r="E47" s="26"/>
    </row>
    <row r="48" spans="1:5" ht="18" customHeight="1" x14ac:dyDescent="0.35">
      <c r="A48" s="24" t="s">
        <v>159</v>
      </c>
      <c r="B48" s="25">
        <f>-B37</f>
        <v>-700</v>
      </c>
      <c r="C48" s="25">
        <f>-C37</f>
        <v>-198.281303879463</v>
      </c>
      <c r="D48" s="7"/>
      <c r="E48" s="26"/>
    </row>
    <row r="49" spans="1:5" ht="18" customHeight="1" x14ac:dyDescent="0.35">
      <c r="A49" s="33" t="s">
        <v>160</v>
      </c>
      <c r="B49" s="25">
        <f>MAX(0,B47+B48)</f>
        <v>1188</v>
      </c>
      <c r="C49" s="25">
        <f>MAX(0,C47+C48)</f>
        <v>6356.0926185312774</v>
      </c>
      <c r="D49" s="7"/>
      <c r="E49" s="26"/>
    </row>
    <row r="50" spans="1:5" ht="18" customHeight="1" x14ac:dyDescent="0.35">
      <c r="A50" s="24" t="s">
        <v>161</v>
      </c>
      <c r="B50" s="25">
        <f>MAX(0,Inputs!B18-MAX(0,B47+B48-Inputs!B18))</f>
        <v>0</v>
      </c>
      <c r="C50" s="25">
        <f>MAX(0,Inputs!B18-MAX(0,C47+C48-Inputs!B18))</f>
        <v>0</v>
      </c>
      <c r="D50" s="7"/>
      <c r="E50" s="26" t="s">
        <v>162</v>
      </c>
    </row>
    <row r="51" spans="1:5" ht="18" customHeight="1" x14ac:dyDescent="0.35">
      <c r="A51" s="24" t="s">
        <v>163</v>
      </c>
      <c r="B51" s="25">
        <f>B39</f>
        <v>198.9</v>
      </c>
      <c r="C51" s="25">
        <f>C39</f>
        <v>1068.9582614940493</v>
      </c>
      <c r="D51" s="7"/>
      <c r="E51" s="26"/>
    </row>
    <row r="52" spans="1:5" ht="18" customHeight="1" x14ac:dyDescent="0.35">
      <c r="A52" s="24" t="s">
        <v>149</v>
      </c>
      <c r="B52" s="25">
        <f>B40</f>
        <v>0</v>
      </c>
      <c r="C52" s="25">
        <f>C40</f>
        <v>0</v>
      </c>
      <c r="D52" s="7"/>
      <c r="E52" s="26"/>
    </row>
    <row r="53" spans="1:5" ht="18" customHeight="1" x14ac:dyDescent="0.35">
      <c r="A53" s="24" t="s">
        <v>164</v>
      </c>
      <c r="B53" s="25">
        <f>B45</f>
        <v>0</v>
      </c>
      <c r="C53" s="25">
        <f>C45</f>
        <v>0</v>
      </c>
      <c r="D53" s="7"/>
      <c r="E53" s="26"/>
    </row>
    <row r="54" spans="1:5" ht="18" customHeight="1" x14ac:dyDescent="0.35">
      <c r="A54" s="34" t="s">
        <v>165</v>
      </c>
      <c r="B54" s="35">
        <f>B49+B51+B52+B53</f>
        <v>1386.9</v>
      </c>
      <c r="C54" s="36">
        <f>C49+C51+C52+C53+C74</f>
        <v>17103.332183904789</v>
      </c>
      <c r="D54" s="7"/>
      <c r="E54" s="26"/>
    </row>
    <row r="55" spans="1:5" ht="18" customHeight="1" x14ac:dyDescent="0.35">
      <c r="A55" s="24" t="s">
        <v>166</v>
      </c>
      <c r="B55" s="37">
        <f>IFERROR(B54/B17,0)</f>
        <v>2.3115E-2</v>
      </c>
      <c r="C55" s="37">
        <f>IFERROR(C54/C17,0)</f>
        <v>0.28505553639841313</v>
      </c>
      <c r="D55" s="7"/>
      <c r="E55" s="26" t="s">
        <v>167</v>
      </c>
    </row>
    <row r="56" spans="1:5" ht="18" customHeight="1" x14ac:dyDescent="0.35">
      <c r="A56" s="24" t="s">
        <v>168</v>
      </c>
      <c r="B56" s="37">
        <f>IF(B29&gt;190000,0.45,IF(B29&gt;135000,0.37,IF(B29&gt;45000,0.3,IF(B29&gt;18200,0.16,0))))</f>
        <v>0.16</v>
      </c>
      <c r="C56" s="37">
        <f>IF(C29&gt;190000,0.45,IF(C29&gt;135000,0.37,IF(C29&gt;45000,0.3,IF(C29&gt;18200,0.15,0))))</f>
        <v>0.3</v>
      </c>
      <c r="D56" s="7"/>
      <c r="E56" s="26" t="s">
        <v>169</v>
      </c>
    </row>
    <row r="57" spans="1:5" ht="18" customHeight="1" x14ac:dyDescent="0.35">
      <c r="A57" s="38" t="s">
        <v>170</v>
      </c>
      <c r="B57" s="39">
        <f>B17-B54+B50</f>
        <v>58613.1</v>
      </c>
      <c r="C57" s="39">
        <f>C17-C54+C50</f>
        <v>42896.667816095214</v>
      </c>
      <c r="D57" s="7"/>
      <c r="E57" s="26"/>
    </row>
    <row r="58" spans="1:5" ht="26.25" customHeight="1" x14ac:dyDescent="0.35">
      <c r="A58" s="38" t="s">
        <v>171</v>
      </c>
      <c r="B58" s="40">
        <f>B54-C54</f>
        <v>-15716.43218390479</v>
      </c>
      <c r="C58" s="41"/>
      <c r="D58" s="7"/>
    </row>
    <row r="59" spans="1:5" ht="19.5" customHeight="1" x14ac:dyDescent="0.35">
      <c r="A59" s="111" t="s">
        <v>172</v>
      </c>
      <c r="B59" s="111"/>
      <c r="C59" s="111"/>
      <c r="D59" s="111"/>
      <c r="E59" s="111"/>
    </row>
    <row r="60" spans="1:5" ht="18" customHeight="1" x14ac:dyDescent="0.35">
      <c r="A60" s="24" t="s">
        <v>173</v>
      </c>
      <c r="B60" s="29">
        <f>IF(Inputs!B9=0,0,IF(B29&lt;54435,0,IF(B29&lt;62739,B29*0.01,IF(B29&lt;70093,B29*0.02,IF(B29&lt;80333,B29*0.025,IF(B29&lt;94553,B29*0.03,IF(B29&lt;111113,B29*0.035,IF(B29&lt;117226,B29*0.04,IF(B29&lt;128401,B29*0.045,IF(B29&lt;140840,B29*0.05,IF(B29&lt;153094,B29*0.055,IF(B29&lt;166220,B29*0.06,IF(B29&lt;180371,B29*0.065,B29*0.07)))))))))))))</f>
        <v>0</v>
      </c>
      <c r="C60" s="29">
        <f>IF(Inputs!B9=0,0,IF(C29&lt;54435,0,IF(C29&lt;62739,C29*0.01,IF(C29&lt;70093,C29*0.02,IF(C29&lt;80333,C29*0.025,IF(C29&lt;94553,C29*0.03,IF(C29&lt;111113,C29*0.035,IF(C29&lt;117226,C29*0.04,IF(C29&lt;128401,C29*0.045,IF(C29&lt;140840,C29*0.05,IF(C29&lt;153094,C29*0.055,IF(C29&lt;166220,C29*0.06,IF(C29&lt;180371,C29*0.065,C29*0.07)))))))))))))</f>
        <v>0</v>
      </c>
      <c r="D60" s="7"/>
      <c r="E60" s="26" t="s">
        <v>174</v>
      </c>
    </row>
    <row r="61" spans="1:5" ht="19.5" customHeight="1" x14ac:dyDescent="0.35">
      <c r="A61" s="23" t="s">
        <v>175</v>
      </c>
    </row>
    <row r="62" spans="1:5" ht="18" customHeight="1" x14ac:dyDescent="0.35">
      <c r="A62" s="24" t="s">
        <v>176</v>
      </c>
      <c r="B62" s="25">
        <f>Inputs!B21</f>
        <v>0</v>
      </c>
      <c r="C62" s="25">
        <f>Inputs!B21</f>
        <v>0</v>
      </c>
      <c r="D62" s="7"/>
      <c r="E62" s="26"/>
    </row>
    <row r="63" spans="1:5" ht="24.75" customHeight="1" x14ac:dyDescent="0.35">
      <c r="A63" s="24" t="s">
        <v>177</v>
      </c>
      <c r="B63" s="25">
        <f>0</f>
        <v>0</v>
      </c>
      <c r="C63" s="25">
        <f>IF(Inputs!B21&gt;0,MAX(0,Inputs!B21*0.3-C49),0)</f>
        <v>0</v>
      </c>
      <c r="D63" s="7"/>
      <c r="E63" s="26" t="s">
        <v>178</v>
      </c>
    </row>
    <row r="64" spans="1:5" ht="24" customHeight="1" x14ac:dyDescent="0.35">
      <c r="A64" s="2" t="s">
        <v>179</v>
      </c>
    </row>
    <row r="65" spans="1:8" ht="18" customHeight="1" x14ac:dyDescent="0.35">
      <c r="A65" s="23" t="s">
        <v>308</v>
      </c>
    </row>
    <row r="66" spans="1:8" ht="18" customHeight="1" x14ac:dyDescent="0.35">
      <c r="A66" t="s">
        <v>305</v>
      </c>
      <c r="B66" s="42"/>
      <c r="C66" s="43">
        <f>Inputs!B43</f>
        <v>30000</v>
      </c>
    </row>
    <row r="67" spans="1:8" ht="18" customHeight="1" x14ac:dyDescent="0.35">
      <c r="A67" t="s">
        <v>309</v>
      </c>
      <c r="B67" s="42"/>
      <c r="C67" s="97">
        <f>(1+Inputs!B46)^Inputs!B47</f>
        <v>1.2184028975099177</v>
      </c>
      <c r="E67" t="s">
        <v>310</v>
      </c>
    </row>
    <row r="68" spans="1:8" ht="18" customHeight="1" x14ac:dyDescent="0.35">
      <c r="A68" t="s">
        <v>311</v>
      </c>
      <c r="B68" s="12"/>
      <c r="C68" s="43">
        <f>C66*C67</f>
        <v>36552.086925297532</v>
      </c>
    </row>
    <row r="69" spans="1:8" ht="18" customHeight="1" x14ac:dyDescent="0.35">
      <c r="A69" t="s">
        <v>312</v>
      </c>
      <c r="B69" s="12"/>
      <c r="C69" s="43">
        <f>C68-C66</f>
        <v>6552.0869252975317</v>
      </c>
    </row>
    <row r="70" spans="1:8" ht="18" customHeight="1" x14ac:dyDescent="0.35">
      <c r="B70" s="44"/>
      <c r="C70" s="42"/>
    </row>
    <row r="71" spans="1:8" ht="18" customHeight="1" x14ac:dyDescent="0.35">
      <c r="A71" s="23" t="s">
        <v>315</v>
      </c>
    </row>
    <row r="72" spans="1:8" ht="18" customHeight="1" x14ac:dyDescent="0.35">
      <c r="A72" t="s">
        <v>316</v>
      </c>
      <c r="B72" s="42"/>
      <c r="C72" s="43">
        <f>Inputs!B45-Calculations!C69</f>
        <v>53447.913074702468</v>
      </c>
    </row>
    <row r="73" spans="1:8" ht="18" customHeight="1" x14ac:dyDescent="0.35">
      <c r="A73" t="s">
        <v>180</v>
      </c>
      <c r="B73" s="42"/>
      <c r="C73" s="43">
        <f>MAX(0,C72*0.3-(C49-IF(C29-C72&lt;=0,0,IF(C29-C72&lt;=18200,0,IF(C29-C72&lt;=45000,(C29-C72-18200)*0.15,IF(C29-C72&lt;=135000,4020+(C29-C72-45000)*0.3,IF(C29-C72&lt;=190000,31020+(C29-C72-135000)*0.37,51370+(C29-C72-190000)*0.45)))))))</f>
        <v>9678.2813038794629</v>
      </c>
      <c r="E73" t="s">
        <v>181</v>
      </c>
    </row>
    <row r="74" spans="1:8" ht="18" customHeight="1" x14ac:dyDescent="0.35">
      <c r="A74" t="s">
        <v>182</v>
      </c>
      <c r="B74" s="44"/>
      <c r="C74" s="42">
        <f>C73</f>
        <v>9678.2813038794629</v>
      </c>
    </row>
    <row r="75" spans="1:8" ht="18" customHeight="1" x14ac:dyDescent="0.35">
      <c r="A75" s="13" t="s">
        <v>322</v>
      </c>
    </row>
    <row r="76" spans="1:8" ht="18" customHeight="1" x14ac:dyDescent="0.35"/>
    <row r="77" spans="1:8" ht="18" customHeight="1" x14ac:dyDescent="0.35"/>
    <row r="78" spans="1:8" ht="18" customHeight="1" x14ac:dyDescent="0.35">
      <c r="C78" s="45" t="s">
        <v>183</v>
      </c>
      <c r="D78" s="45"/>
      <c r="E78" s="45"/>
      <c r="F78" s="45"/>
      <c r="G78" s="45"/>
      <c r="H78" s="45"/>
    </row>
    <row r="79" spans="1:8" ht="18" customHeight="1" x14ac:dyDescent="0.35">
      <c r="C79" s="46">
        <f>C29-(C14-C25)</f>
        <v>0</v>
      </c>
      <c r="D79" s="45"/>
      <c r="E79" s="45" t="s">
        <v>184</v>
      </c>
      <c r="F79" s="45"/>
      <c r="G79" s="45"/>
      <c r="H79" s="45"/>
    </row>
    <row r="80" spans="1:8" ht="18" customHeight="1" x14ac:dyDescent="0.35">
      <c r="C80" s="47">
        <f>IF(C79&lt;=0,0,IF(C79&lt;=18200,0,IF(C79&lt;=45000,(C79-18200)*0.15,IF(C79&lt;=135000,4020+(C79-45000)*0.3,IF(C79&lt;=190000,31020+(C79-135000)*0.37,51370+(C79-190000)*0.45)))))</f>
        <v>0</v>
      </c>
      <c r="D80" s="45"/>
      <c r="E80" s="45" t="s">
        <v>185</v>
      </c>
      <c r="F80" s="45"/>
      <c r="G80" s="45"/>
      <c r="H80" s="45"/>
    </row>
    <row r="81" spans="3:8" ht="18" customHeight="1" x14ac:dyDescent="0.35">
      <c r="C81" s="48" t="e">
        <f>C80/C79</f>
        <v>#DIV/0!</v>
      </c>
      <c r="D81" s="45"/>
      <c r="E81" s="45" t="s">
        <v>186</v>
      </c>
      <c r="F81" s="45"/>
      <c r="G81" s="45"/>
      <c r="H81" s="45"/>
    </row>
    <row r="82" spans="3:8" ht="18" customHeight="1" x14ac:dyDescent="0.35">
      <c r="C82" s="49"/>
      <c r="D82" s="45"/>
      <c r="E82" s="45"/>
      <c r="F82" s="45"/>
      <c r="G82" s="45"/>
      <c r="H82" s="45"/>
    </row>
    <row r="83" spans="3:8" ht="18" customHeight="1" x14ac:dyDescent="0.35">
      <c r="C83" s="46">
        <f>C49-C80</f>
        <v>6356.0926185312774</v>
      </c>
      <c r="D83" s="45"/>
      <c r="E83" s="45" t="s">
        <v>317</v>
      </c>
      <c r="F83" s="45"/>
      <c r="G83" s="45"/>
      <c r="H83" s="45"/>
    </row>
    <row r="84" spans="3:8" ht="18" customHeight="1" x14ac:dyDescent="0.35">
      <c r="C84" s="98">
        <f>C83/C72</f>
        <v>0.11892124973425186</v>
      </c>
      <c r="D84" s="45"/>
      <c r="E84" s="45" t="s">
        <v>318</v>
      </c>
      <c r="F84" s="45"/>
      <c r="G84" s="45"/>
      <c r="H84" s="45"/>
    </row>
    <row r="85" spans="3:8" ht="18" customHeight="1" x14ac:dyDescent="0.35">
      <c r="C85" s="47">
        <f>IF(C84&lt;0.3,(0.3-C84)*C72,0)</f>
        <v>9678.2813038794629</v>
      </c>
      <c r="D85" s="45"/>
      <c r="E85" s="45" t="s">
        <v>187</v>
      </c>
      <c r="F85" s="45"/>
      <c r="G85" s="45"/>
      <c r="H85" s="45"/>
    </row>
    <row r="86" spans="3:8" ht="18" customHeight="1" x14ac:dyDescent="0.35"/>
    <row r="87" spans="3:8" ht="18" customHeight="1" x14ac:dyDescent="0.35"/>
    <row r="88" spans="3:8" ht="18" customHeight="1" x14ac:dyDescent="0.35"/>
    <row r="89" spans="3:8" ht="18" customHeight="1" x14ac:dyDescent="0.35"/>
    <row r="90" spans="3:8" ht="18" customHeight="1" x14ac:dyDescent="0.35"/>
    <row r="91" spans="3:8" ht="18" customHeight="1" x14ac:dyDescent="0.35"/>
    <row r="92" spans="3:8" ht="18" customHeight="1" x14ac:dyDescent="0.35"/>
    <row r="93" spans="3:8" ht="18" customHeight="1" x14ac:dyDescent="0.35"/>
    <row r="94" spans="3:8" ht="18" customHeight="1" x14ac:dyDescent="0.35"/>
    <row r="95" spans="3:8" ht="18" customHeight="1" x14ac:dyDescent="0.35"/>
    <row r="96" spans="3:8" ht="18" customHeight="1" x14ac:dyDescent="0.35"/>
  </sheetData>
  <mergeCells count="11">
    <mergeCell ref="A59:E59"/>
    <mergeCell ref="A30:E30"/>
    <mergeCell ref="A32:E32"/>
    <mergeCell ref="A38:E38"/>
    <mergeCell ref="A42:E42"/>
    <mergeCell ref="A46:E46"/>
    <mergeCell ref="A1:C1"/>
    <mergeCell ref="A2:C2"/>
    <mergeCell ref="A4:E4"/>
    <mergeCell ref="A18:E18"/>
    <mergeCell ref="A28:E28"/>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5"/>
  <sheetViews>
    <sheetView showGridLines="0" tabSelected="1" topLeftCell="A4" zoomScaleNormal="100" workbookViewId="0">
      <selection activeCell="D22" sqref="D22"/>
    </sheetView>
  </sheetViews>
  <sheetFormatPr defaultColWidth="8.6328125" defaultRowHeight="14.5" x14ac:dyDescent="0.35"/>
  <cols>
    <col min="1" max="1" width="37.6328125" customWidth="1"/>
    <col min="2" max="4" width="20" customWidth="1"/>
    <col min="5" max="5" width="3" customWidth="1"/>
    <col min="6" max="6" width="41.54296875" customWidth="1"/>
  </cols>
  <sheetData>
    <row r="1" spans="1:6" ht="33.75" customHeight="1" x14ac:dyDescent="0.35">
      <c r="A1" s="109" t="s">
        <v>188</v>
      </c>
      <c r="B1" s="109"/>
      <c r="C1" s="109"/>
      <c r="D1" s="109"/>
      <c r="E1" s="109"/>
    </row>
    <row r="2" spans="1:6" ht="18" customHeight="1" x14ac:dyDescent="0.35">
      <c r="A2" s="101" t="str">
        <f>" Taxpayer: "&amp;Inputs!B5</f>
        <v xml:space="preserve"> Taxpayer: James</v>
      </c>
      <c r="B2" s="101"/>
      <c r="C2" s="101"/>
      <c r="D2" s="101"/>
      <c r="E2" s="101"/>
    </row>
    <row r="3" spans="1:6" ht="30" customHeight="1" x14ac:dyDescent="0.35">
      <c r="A3" s="3" t="s">
        <v>105</v>
      </c>
      <c r="B3" s="3" t="s">
        <v>106</v>
      </c>
      <c r="C3" s="3" t="s">
        <v>107</v>
      </c>
      <c r="D3" s="3" t="s">
        <v>189</v>
      </c>
      <c r="E3" s="7"/>
      <c r="F3" s="3" t="s">
        <v>108</v>
      </c>
    </row>
    <row r="4" spans="1:6" ht="18" customHeight="1" x14ac:dyDescent="0.35">
      <c r="A4" s="1" t="s">
        <v>304</v>
      </c>
      <c r="B4" s="50">
        <f>Calculations!B17</f>
        <v>60000</v>
      </c>
      <c r="C4" s="50">
        <f>Calculations!C17</f>
        <v>60000</v>
      </c>
      <c r="D4" s="51">
        <f>C4-B4</f>
        <v>0</v>
      </c>
      <c r="E4" s="7"/>
      <c r="F4" s="52"/>
    </row>
    <row r="5" spans="1:6" ht="18" customHeight="1" x14ac:dyDescent="0.35">
      <c r="A5" s="1" t="s">
        <v>6</v>
      </c>
      <c r="B5" s="50">
        <f>Calculations!B29</f>
        <v>30000</v>
      </c>
      <c r="C5" s="50">
        <f>Calculations!C29</f>
        <v>53447.913074702468</v>
      </c>
      <c r="D5" s="51">
        <f>C5-B5</f>
        <v>23447.913074702468</v>
      </c>
      <c r="E5" s="7"/>
      <c r="F5" s="52" t="s">
        <v>190</v>
      </c>
    </row>
    <row r="6" spans="1:6" ht="18" customHeight="1" x14ac:dyDescent="0.35">
      <c r="A6" s="1" t="s">
        <v>134</v>
      </c>
      <c r="B6" s="50">
        <f>Calculations!B31</f>
        <v>1888</v>
      </c>
      <c r="C6" s="50">
        <f>Calculations!C31</f>
        <v>6554.3739224107403</v>
      </c>
      <c r="D6" s="51">
        <f t="shared" ref="D6:D12" si="0">C6-B6</f>
        <v>4666.3739224107403</v>
      </c>
      <c r="E6" s="7"/>
      <c r="F6" s="52" t="s">
        <v>191</v>
      </c>
    </row>
    <row r="7" spans="1:6" ht="18" customHeight="1" x14ac:dyDescent="0.35">
      <c r="A7" s="1" t="s">
        <v>192</v>
      </c>
      <c r="B7" s="50">
        <f>Calculations!B37</f>
        <v>700</v>
      </c>
      <c r="C7" s="50">
        <f>Calculations!C37</f>
        <v>198.281303879463</v>
      </c>
      <c r="D7" s="51">
        <f t="shared" si="0"/>
        <v>-501.718696120537</v>
      </c>
      <c r="E7" s="7"/>
      <c r="F7" s="52" t="s">
        <v>193</v>
      </c>
    </row>
    <row r="8" spans="1:6" ht="18" customHeight="1" x14ac:dyDescent="0.35">
      <c r="A8" s="1" t="s">
        <v>160</v>
      </c>
      <c r="B8" s="50">
        <f>Calculations!B49</f>
        <v>1188</v>
      </c>
      <c r="C8" s="50">
        <f>Calculations!C49</f>
        <v>6356.0926185312774</v>
      </c>
      <c r="D8" s="51">
        <f t="shared" si="0"/>
        <v>5168.0926185312774</v>
      </c>
      <c r="E8" s="7"/>
      <c r="F8" s="52"/>
    </row>
    <row r="9" spans="1:6" ht="18" customHeight="1" x14ac:dyDescent="0.35">
      <c r="A9" s="1" t="s">
        <v>163</v>
      </c>
      <c r="B9" s="50">
        <f>Calculations!B39</f>
        <v>198.9</v>
      </c>
      <c r="C9" s="50">
        <f>Calculations!C39</f>
        <v>1068.9582614940493</v>
      </c>
      <c r="D9" s="51">
        <f t="shared" si="0"/>
        <v>870.05826149404936</v>
      </c>
      <c r="E9" s="7"/>
      <c r="F9" s="52"/>
    </row>
    <row r="10" spans="1:6" ht="18" customHeight="1" x14ac:dyDescent="0.35">
      <c r="A10" s="1" t="s">
        <v>149</v>
      </c>
      <c r="B10" s="50">
        <f>Calculations!B40</f>
        <v>0</v>
      </c>
      <c r="C10" s="50">
        <f>Calculations!C40</f>
        <v>0</v>
      </c>
      <c r="D10" s="51">
        <f t="shared" si="0"/>
        <v>0</v>
      </c>
      <c r="E10" s="7"/>
      <c r="F10" s="52" t="s">
        <v>194</v>
      </c>
    </row>
    <row r="11" spans="1:6" ht="18" customHeight="1" x14ac:dyDescent="0.35">
      <c r="A11" s="1" t="s">
        <v>164</v>
      </c>
      <c r="B11" s="50">
        <f>Calculations!B45</f>
        <v>0</v>
      </c>
      <c r="C11" s="50">
        <f>Calculations!C45</f>
        <v>0</v>
      </c>
      <c r="D11" s="51">
        <f t="shared" si="0"/>
        <v>0</v>
      </c>
      <c r="E11" s="7"/>
      <c r="F11" s="52" t="s">
        <v>195</v>
      </c>
    </row>
    <row r="12" spans="1:6" ht="23" x14ac:dyDescent="0.35">
      <c r="A12" s="1" t="s">
        <v>196</v>
      </c>
      <c r="B12" s="50">
        <f>Calculations!B74</f>
        <v>0</v>
      </c>
      <c r="C12" s="50">
        <f>Calculations!C74</f>
        <v>9678.2813038794629</v>
      </c>
      <c r="D12" s="51">
        <f t="shared" si="0"/>
        <v>9678.2813038794629</v>
      </c>
      <c r="E12" s="7"/>
      <c r="F12" s="52" t="s">
        <v>197</v>
      </c>
    </row>
    <row r="13" spans="1:6" ht="18" customHeight="1" x14ac:dyDescent="0.35">
      <c r="A13" s="94" t="s">
        <v>198</v>
      </c>
      <c r="B13" s="94"/>
      <c r="C13" s="94"/>
      <c r="D13" s="94"/>
      <c r="E13" s="94"/>
      <c r="F13" s="52" t="s">
        <v>199</v>
      </c>
    </row>
    <row r="14" spans="1:6" ht="15" customHeight="1" x14ac:dyDescent="0.35">
      <c r="A14" s="53"/>
      <c r="B14" s="53"/>
      <c r="C14" s="53"/>
      <c r="D14" s="53"/>
      <c r="E14" s="14"/>
      <c r="F14" s="53"/>
    </row>
    <row r="15" spans="1:6" ht="28" customHeight="1" x14ac:dyDescent="0.35">
      <c r="A15" s="54" t="s">
        <v>200</v>
      </c>
      <c r="B15" s="35">
        <f>Calculations!B54</f>
        <v>1386.9</v>
      </c>
      <c r="C15" s="35">
        <f>Calculations!C54</f>
        <v>17103.332183904789</v>
      </c>
      <c r="D15" s="35">
        <f>C15-B15</f>
        <v>15716.43218390479</v>
      </c>
      <c r="E15" s="55"/>
      <c r="F15" s="55"/>
    </row>
    <row r="16" spans="1:6" ht="19.5" customHeight="1" x14ac:dyDescent="0.35">
      <c r="A16" s="31" t="s">
        <v>166</v>
      </c>
      <c r="B16" s="56">
        <f>B15/B4</f>
        <v>2.3115E-2</v>
      </c>
      <c r="C16" s="56">
        <f>C15/C4</f>
        <v>0.28505553639841313</v>
      </c>
      <c r="D16" s="56">
        <f>C16-B16</f>
        <v>0.26194053639841314</v>
      </c>
      <c r="E16" s="57"/>
      <c r="F16" s="57"/>
    </row>
    <row r="17" spans="1:6" ht="18" customHeight="1" x14ac:dyDescent="0.35">
      <c r="A17" s="38" t="s">
        <v>201</v>
      </c>
      <c r="B17" s="58">
        <f>Calculations!B57</f>
        <v>58613.1</v>
      </c>
      <c r="C17" s="58">
        <f>Calculations!C57</f>
        <v>42896.667816095214</v>
      </c>
      <c r="D17" s="58">
        <f>C17-B17</f>
        <v>-15716.432183904784</v>
      </c>
      <c r="E17" s="59"/>
      <c r="F17" s="59"/>
    </row>
    <row r="18" spans="1:6" ht="18" customHeight="1" x14ac:dyDescent="0.35"/>
    <row r="19" spans="1:6" ht="18" customHeight="1" x14ac:dyDescent="0.35"/>
    <row r="20" spans="1:6" ht="18" customHeight="1" x14ac:dyDescent="0.35"/>
    <row r="21" spans="1:6" ht="18" customHeight="1" x14ac:dyDescent="0.35"/>
    <row r="22" spans="1:6" ht="18" customHeight="1" x14ac:dyDescent="0.35"/>
    <row r="23" spans="1:6" ht="18" customHeight="1" x14ac:dyDescent="0.35"/>
    <row r="24" spans="1:6" ht="18" customHeight="1" x14ac:dyDescent="0.35"/>
    <row r="25" spans="1:6" ht="18" customHeight="1" x14ac:dyDescent="0.35"/>
    <row r="26" spans="1:6" ht="18" customHeight="1" x14ac:dyDescent="0.35"/>
    <row r="27" spans="1:6" ht="18" customHeight="1" x14ac:dyDescent="0.35"/>
    <row r="28" spans="1:6" ht="18" customHeight="1" x14ac:dyDescent="0.35"/>
    <row r="29" spans="1:6" ht="18" customHeight="1" x14ac:dyDescent="0.35"/>
    <row r="30" spans="1:6" ht="18" customHeight="1" x14ac:dyDescent="0.35"/>
    <row r="31" spans="1:6" ht="18" customHeight="1" x14ac:dyDescent="0.35"/>
    <row r="32" spans="1:6" ht="18" customHeight="1" x14ac:dyDescent="0.35"/>
    <row r="33" ht="18" customHeight="1" x14ac:dyDescent="0.35"/>
    <row r="34" ht="18" customHeight="1" x14ac:dyDescent="0.35"/>
    <row r="35" ht="18" customHeight="1" x14ac:dyDescent="0.35"/>
    <row r="36" ht="18" customHeight="1" x14ac:dyDescent="0.35"/>
    <row r="37" ht="18" customHeight="1" x14ac:dyDescent="0.35"/>
    <row r="38" ht="18" customHeight="1" x14ac:dyDescent="0.35"/>
    <row r="39" ht="18" customHeight="1" x14ac:dyDescent="0.35"/>
    <row r="40" ht="18" customHeight="1" x14ac:dyDescent="0.35"/>
    <row r="41" ht="18" customHeight="1" x14ac:dyDescent="0.35"/>
    <row r="42" ht="18" customHeight="1" x14ac:dyDescent="0.35"/>
    <row r="43" ht="18" customHeight="1" x14ac:dyDescent="0.35"/>
    <row r="44" ht="18" customHeight="1" x14ac:dyDescent="0.35"/>
    <row r="45" ht="18" customHeight="1" x14ac:dyDescent="0.35"/>
    <row r="46" ht="18" customHeight="1" x14ac:dyDescent="0.35"/>
    <row r="47" ht="18" customHeight="1" x14ac:dyDescent="0.35"/>
    <row r="48" ht="18" customHeight="1" x14ac:dyDescent="0.35"/>
    <row r="49" ht="18" customHeight="1" x14ac:dyDescent="0.35"/>
    <row r="50" ht="18" customHeight="1" x14ac:dyDescent="0.35"/>
    <row r="51" ht="18" customHeight="1" x14ac:dyDescent="0.35"/>
    <row r="52" ht="18" customHeight="1" x14ac:dyDescent="0.35"/>
    <row r="53" ht="18" customHeight="1" x14ac:dyDescent="0.35"/>
    <row r="54" ht="18" customHeight="1" x14ac:dyDescent="0.35"/>
    <row r="55" ht="18" customHeight="1" x14ac:dyDescent="0.35"/>
    <row r="56" ht="18" customHeight="1" x14ac:dyDescent="0.35"/>
    <row r="57" ht="18" customHeight="1" x14ac:dyDescent="0.35"/>
    <row r="58" ht="18" customHeight="1" x14ac:dyDescent="0.35"/>
    <row r="59" ht="18" customHeight="1" x14ac:dyDescent="0.35"/>
    <row r="60" ht="18" customHeight="1" x14ac:dyDescent="0.35"/>
    <row r="61" ht="18" customHeight="1" x14ac:dyDescent="0.35"/>
    <row r="62" ht="18" customHeight="1" x14ac:dyDescent="0.35"/>
    <row r="63" ht="18" customHeight="1" x14ac:dyDescent="0.35"/>
    <row r="64" ht="18" customHeight="1" x14ac:dyDescent="0.35"/>
    <row r="65" ht="18" customHeight="1" x14ac:dyDescent="0.35"/>
    <row r="66" ht="18" customHeight="1" x14ac:dyDescent="0.35"/>
    <row r="67" ht="18" customHeight="1" x14ac:dyDescent="0.35"/>
    <row r="68" ht="18" customHeight="1" x14ac:dyDescent="0.35"/>
    <row r="69" ht="18" customHeight="1" x14ac:dyDescent="0.35"/>
    <row r="70" ht="18" customHeight="1" x14ac:dyDescent="0.35"/>
    <row r="71" ht="18" customHeight="1" x14ac:dyDescent="0.35"/>
    <row r="72" ht="18" customHeight="1" x14ac:dyDescent="0.35"/>
    <row r="73" ht="18" customHeight="1" x14ac:dyDescent="0.35"/>
    <row r="74" ht="18" customHeight="1" x14ac:dyDescent="0.35"/>
    <row r="75" ht="18" customHeight="1" x14ac:dyDescent="0.35"/>
  </sheetData>
  <mergeCells count="2">
    <mergeCell ref="A1:E1"/>
    <mergeCell ref="A2:E2"/>
  </mergeCells>
  <pageMargins left="0.75" right="0.75" top="1" bottom="1" header="0.511811023622047" footer="0.511811023622047"/>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58"/>
  <sheetViews>
    <sheetView zoomScaleNormal="100" workbookViewId="0">
      <pane xSplit="1" ySplit="6" topLeftCell="B7" activePane="bottomRight" state="frozen"/>
      <selection pane="topRight" activeCell="B1" sqref="B1"/>
      <selection pane="bottomLeft" activeCell="A7" sqref="A7"/>
      <selection pane="bottomRight" activeCell="F49" sqref="F49"/>
    </sheetView>
  </sheetViews>
  <sheetFormatPr defaultColWidth="8.6328125" defaultRowHeight="14.5" x14ac:dyDescent="0.35"/>
  <cols>
    <col min="1" max="1" width="8" customWidth="1"/>
    <col min="2" max="5" width="14" customWidth="1"/>
  </cols>
  <sheetData>
    <row r="1" spans="1:5" ht="15" customHeight="1" x14ac:dyDescent="0.35">
      <c r="A1" s="60" t="s">
        <v>202</v>
      </c>
    </row>
    <row r="2" spans="1:5" ht="15" customHeight="1" x14ac:dyDescent="0.35">
      <c r="A2" s="61" t="s">
        <v>203</v>
      </c>
    </row>
    <row r="3" spans="1:5" ht="15" customHeight="1" x14ac:dyDescent="0.35">
      <c r="A3" s="17" t="s">
        <v>204</v>
      </c>
    </row>
    <row r="4" spans="1:5" ht="15" customHeight="1" x14ac:dyDescent="0.35">
      <c r="A4" s="16" t="s">
        <v>205</v>
      </c>
    </row>
    <row r="6" spans="1:5" ht="15" customHeight="1" x14ac:dyDescent="0.35">
      <c r="A6" s="62" t="s">
        <v>206</v>
      </c>
      <c r="B6" s="62" t="s">
        <v>207</v>
      </c>
      <c r="C6" s="62" t="s">
        <v>208</v>
      </c>
      <c r="D6" s="62" t="s">
        <v>209</v>
      </c>
      <c r="E6" s="62" t="s">
        <v>210</v>
      </c>
    </row>
    <row r="7" spans="1:5" ht="15" customHeight="1" x14ac:dyDescent="0.35">
      <c r="A7" s="63">
        <v>1985</v>
      </c>
      <c r="B7" s="64" t="s">
        <v>211</v>
      </c>
      <c r="C7" s="64" t="s">
        <v>211</v>
      </c>
      <c r="D7" s="65">
        <v>37.9</v>
      </c>
      <c r="E7" s="65">
        <v>38.799999999999997</v>
      </c>
    </row>
    <row r="8" spans="1:5" ht="15" customHeight="1" x14ac:dyDescent="0.35">
      <c r="A8" s="63">
        <v>1986</v>
      </c>
      <c r="B8" s="65">
        <v>39.700000000000003</v>
      </c>
      <c r="C8" s="65">
        <v>40.5</v>
      </c>
      <c r="D8" s="65">
        <v>41.4</v>
      </c>
      <c r="E8" s="65">
        <v>42.1</v>
      </c>
    </row>
    <row r="9" spans="1:5" ht="15" customHeight="1" x14ac:dyDescent="0.35">
      <c r="A9" s="63">
        <v>1987</v>
      </c>
      <c r="B9" s="65">
        <v>43.2</v>
      </c>
      <c r="C9" s="65">
        <v>44.4</v>
      </c>
      <c r="D9" s="65">
        <v>45.3</v>
      </c>
      <c r="E9" s="65">
        <v>46</v>
      </c>
    </row>
    <row r="10" spans="1:5" ht="15" customHeight="1" x14ac:dyDescent="0.35">
      <c r="A10" s="63">
        <v>1988</v>
      </c>
      <c r="B10" s="65">
        <v>46.8</v>
      </c>
      <c r="C10" s="65">
        <v>47.6</v>
      </c>
      <c r="D10" s="65">
        <v>48.4</v>
      </c>
      <c r="E10" s="65">
        <v>49.3</v>
      </c>
    </row>
    <row r="11" spans="1:5" ht="15" customHeight="1" x14ac:dyDescent="0.35">
      <c r="A11" s="63">
        <v>1989</v>
      </c>
      <c r="B11" s="65">
        <v>50.2</v>
      </c>
      <c r="C11" s="65">
        <v>51.2</v>
      </c>
      <c r="D11" s="65">
        <v>51.7</v>
      </c>
      <c r="E11" s="65">
        <v>53</v>
      </c>
    </row>
    <row r="12" spans="1:5" ht="15" customHeight="1" x14ac:dyDescent="0.35">
      <c r="A12" s="63">
        <v>1990</v>
      </c>
      <c r="B12" s="65">
        <v>54.2</v>
      </c>
      <c r="C12" s="65">
        <v>55.2</v>
      </c>
      <c r="D12" s="65">
        <v>56.2</v>
      </c>
      <c r="E12" s="65">
        <v>57.1</v>
      </c>
    </row>
    <row r="13" spans="1:5" ht="15" customHeight="1" x14ac:dyDescent="0.35">
      <c r="A13" s="63">
        <v>1991</v>
      </c>
      <c r="B13" s="65">
        <v>57.5</v>
      </c>
      <c r="C13" s="65">
        <v>59</v>
      </c>
      <c r="D13" s="65">
        <v>58.9</v>
      </c>
      <c r="E13" s="65">
        <v>59</v>
      </c>
    </row>
    <row r="14" spans="1:5" ht="15" customHeight="1" x14ac:dyDescent="0.35">
      <c r="A14" s="63">
        <v>1992</v>
      </c>
      <c r="B14" s="65">
        <v>59.3</v>
      </c>
      <c r="C14" s="65">
        <v>59.9</v>
      </c>
      <c r="D14" s="65">
        <v>59.9</v>
      </c>
      <c r="E14" s="65">
        <v>59.7</v>
      </c>
    </row>
    <row r="15" spans="1:5" ht="15" customHeight="1" x14ac:dyDescent="0.35">
      <c r="A15" s="63">
        <v>1993</v>
      </c>
      <c r="B15" s="65">
        <v>59.8</v>
      </c>
      <c r="C15" s="65">
        <v>60.1</v>
      </c>
      <c r="D15" s="65">
        <v>60.6</v>
      </c>
      <c r="E15" s="65">
        <v>60.8</v>
      </c>
    </row>
    <row r="16" spans="1:5" ht="15" customHeight="1" x14ac:dyDescent="0.35">
      <c r="A16" s="63">
        <v>1994</v>
      </c>
      <c r="B16" s="65">
        <v>61.1</v>
      </c>
      <c r="C16" s="65">
        <v>61.2</v>
      </c>
      <c r="D16" s="65">
        <v>61.5</v>
      </c>
      <c r="E16" s="65">
        <v>61.9</v>
      </c>
    </row>
    <row r="17" spans="1:5" ht="15" customHeight="1" x14ac:dyDescent="0.35">
      <c r="A17" s="63">
        <v>1995</v>
      </c>
      <c r="B17" s="65">
        <v>62.3</v>
      </c>
      <c r="C17" s="65">
        <v>62.8</v>
      </c>
      <c r="D17" s="65">
        <v>63.8</v>
      </c>
      <c r="E17" s="65">
        <v>64.7</v>
      </c>
    </row>
    <row r="18" spans="1:5" ht="15" customHeight="1" x14ac:dyDescent="0.35">
      <c r="A18" s="63">
        <v>1996</v>
      </c>
      <c r="B18" s="65">
        <v>65.5</v>
      </c>
      <c r="C18" s="65">
        <v>66</v>
      </c>
      <c r="D18" s="65">
        <v>66.2</v>
      </c>
      <c r="E18" s="65">
        <v>66.7</v>
      </c>
    </row>
    <row r="19" spans="1:5" ht="15" customHeight="1" x14ac:dyDescent="0.35">
      <c r="A19" s="63">
        <v>1997</v>
      </c>
      <c r="B19" s="65">
        <v>66.900000000000006</v>
      </c>
      <c r="C19" s="65">
        <v>67</v>
      </c>
      <c r="D19" s="65">
        <v>67.099999999999994</v>
      </c>
      <c r="E19" s="65">
        <v>66.900000000000006</v>
      </c>
    </row>
    <row r="20" spans="1:5" ht="15" customHeight="1" x14ac:dyDescent="0.35">
      <c r="A20" s="63">
        <v>1998</v>
      </c>
      <c r="B20" s="65">
        <v>66.599999999999994</v>
      </c>
      <c r="C20" s="65">
        <v>66.8</v>
      </c>
      <c r="D20" s="65">
        <v>67</v>
      </c>
      <c r="E20" s="65">
        <v>67.400000000000006</v>
      </c>
    </row>
    <row r="21" spans="1:5" ht="15" customHeight="1" x14ac:dyDescent="0.35">
      <c r="A21" s="63">
        <v>1999</v>
      </c>
      <c r="B21" s="65">
        <v>67.5</v>
      </c>
      <c r="C21" s="65">
        <v>67.8</v>
      </c>
      <c r="D21" s="65">
        <v>67.8</v>
      </c>
      <c r="E21" s="65">
        <v>68.099999999999994</v>
      </c>
    </row>
    <row r="22" spans="1:5" ht="15" customHeight="1" x14ac:dyDescent="0.35">
      <c r="A22" s="63">
        <v>2000</v>
      </c>
      <c r="B22" s="65">
        <v>68.7</v>
      </c>
      <c r="C22" s="65">
        <v>69.099999999999994</v>
      </c>
      <c r="D22" s="65">
        <v>69.7</v>
      </c>
      <c r="E22" s="65">
        <v>70.2</v>
      </c>
    </row>
    <row r="23" spans="1:5" ht="15" customHeight="1" x14ac:dyDescent="0.35">
      <c r="A23" s="63">
        <v>2001</v>
      </c>
      <c r="B23" s="65">
        <v>72.900000000000006</v>
      </c>
      <c r="C23" s="65">
        <v>73.099999999999994</v>
      </c>
      <c r="D23" s="65">
        <v>73.900000000000006</v>
      </c>
      <c r="E23" s="65">
        <v>74.5</v>
      </c>
    </row>
    <row r="24" spans="1:5" ht="15" customHeight="1" x14ac:dyDescent="0.35">
      <c r="A24" s="63">
        <v>2002</v>
      </c>
      <c r="B24" s="65">
        <v>74.7</v>
      </c>
      <c r="C24" s="65">
        <v>75.400000000000006</v>
      </c>
      <c r="D24" s="65">
        <v>76.099999999999994</v>
      </c>
      <c r="E24" s="65">
        <v>76.599999999999994</v>
      </c>
    </row>
    <row r="25" spans="1:5" ht="15" customHeight="1" x14ac:dyDescent="0.35">
      <c r="A25" s="63">
        <v>2003</v>
      </c>
      <c r="B25" s="65">
        <v>77.099999999999994</v>
      </c>
      <c r="C25" s="65">
        <v>77.599999999999994</v>
      </c>
      <c r="D25" s="65">
        <v>78.599999999999994</v>
      </c>
      <c r="E25" s="65">
        <v>78.599999999999994</v>
      </c>
    </row>
    <row r="26" spans="1:5" ht="15" customHeight="1" x14ac:dyDescent="0.35">
      <c r="A26" s="63">
        <v>2004</v>
      </c>
      <c r="B26" s="65">
        <v>79.099999999999994</v>
      </c>
      <c r="C26" s="65">
        <v>79.5</v>
      </c>
      <c r="D26" s="65">
        <v>80.2</v>
      </c>
      <c r="E26" s="65">
        <v>80.599999999999994</v>
      </c>
    </row>
    <row r="27" spans="1:5" ht="15" customHeight="1" x14ac:dyDescent="0.35">
      <c r="A27" s="63">
        <v>2005</v>
      </c>
      <c r="B27" s="65">
        <v>80.900000000000006</v>
      </c>
      <c r="C27" s="65">
        <v>81.5</v>
      </c>
      <c r="D27" s="65">
        <v>82.1</v>
      </c>
      <c r="E27" s="65">
        <v>82.6</v>
      </c>
    </row>
    <row r="28" spans="1:5" ht="15" customHeight="1" x14ac:dyDescent="0.35">
      <c r="A28" s="63">
        <v>2006</v>
      </c>
      <c r="B28" s="65">
        <v>83.4</v>
      </c>
      <c r="C28" s="65">
        <v>83.8</v>
      </c>
      <c r="D28" s="65">
        <v>84.5</v>
      </c>
      <c r="E28" s="65">
        <v>85.9</v>
      </c>
    </row>
    <row r="29" spans="1:5" ht="15" customHeight="1" x14ac:dyDescent="0.35">
      <c r="A29" s="63">
        <v>2007</v>
      </c>
      <c r="B29" s="65">
        <v>86.7</v>
      </c>
      <c r="C29" s="65">
        <v>86.6</v>
      </c>
      <c r="D29" s="65">
        <v>86.6</v>
      </c>
      <c r="E29" s="65">
        <v>87.7</v>
      </c>
    </row>
    <row r="30" spans="1:5" ht="15" customHeight="1" x14ac:dyDescent="0.35">
      <c r="A30" s="63">
        <v>2008</v>
      </c>
      <c r="B30" s="65">
        <v>88.3</v>
      </c>
      <c r="C30" s="65">
        <v>89.1</v>
      </c>
      <c r="D30" s="65">
        <v>90.3</v>
      </c>
      <c r="E30" s="65">
        <v>91.6</v>
      </c>
    </row>
    <row r="31" spans="1:5" ht="15" customHeight="1" x14ac:dyDescent="0.35">
      <c r="A31" s="63">
        <v>2009</v>
      </c>
      <c r="B31" s="65">
        <v>92.7</v>
      </c>
      <c r="C31" s="65">
        <v>92.4</v>
      </c>
      <c r="D31" s="65">
        <v>92.5</v>
      </c>
      <c r="E31" s="65">
        <v>92.9</v>
      </c>
    </row>
    <row r="32" spans="1:5" ht="15" customHeight="1" x14ac:dyDescent="0.35">
      <c r="A32" s="63">
        <v>2010</v>
      </c>
      <c r="B32" s="65">
        <v>93.8</v>
      </c>
      <c r="C32" s="65">
        <v>94.3</v>
      </c>
      <c r="D32" s="65">
        <v>95.2</v>
      </c>
      <c r="E32" s="65">
        <v>95.8</v>
      </c>
    </row>
    <row r="33" spans="1:5" ht="15" customHeight="1" x14ac:dyDescent="0.35">
      <c r="A33" s="63">
        <v>2011</v>
      </c>
      <c r="B33" s="65">
        <v>96.5</v>
      </c>
      <c r="C33" s="65">
        <v>96.9</v>
      </c>
      <c r="D33" s="65">
        <v>98.3</v>
      </c>
      <c r="E33" s="65">
        <v>99.2</v>
      </c>
    </row>
    <row r="34" spans="1:5" ht="15" customHeight="1" x14ac:dyDescent="0.35">
      <c r="A34" s="63">
        <v>2012</v>
      </c>
      <c r="B34" s="65">
        <v>99.8</v>
      </c>
      <c r="C34" s="65">
        <v>99.8</v>
      </c>
      <c r="D34" s="65">
        <v>99.9</v>
      </c>
      <c r="E34" s="65">
        <v>100.4</v>
      </c>
    </row>
    <row r="35" spans="1:5" ht="15" customHeight="1" x14ac:dyDescent="0.35">
      <c r="A35" s="63">
        <v>2013</v>
      </c>
      <c r="B35" s="65">
        <v>101.8</v>
      </c>
      <c r="C35" s="65">
        <v>102</v>
      </c>
      <c r="D35" s="65">
        <v>102.4</v>
      </c>
      <c r="E35" s="65">
        <v>102.8</v>
      </c>
    </row>
    <row r="36" spans="1:5" ht="15" customHeight="1" x14ac:dyDescent="0.35">
      <c r="A36" s="63">
        <v>2014</v>
      </c>
      <c r="B36" s="65">
        <v>104</v>
      </c>
      <c r="C36" s="65">
        <v>104.8</v>
      </c>
      <c r="D36" s="65">
        <v>105.4</v>
      </c>
      <c r="E36" s="65">
        <v>105.9</v>
      </c>
    </row>
    <row r="37" spans="1:5" ht="15" customHeight="1" x14ac:dyDescent="0.35">
      <c r="A37" s="63">
        <v>2015</v>
      </c>
      <c r="B37" s="65">
        <v>106.4</v>
      </c>
      <c r="C37" s="65">
        <v>106.6</v>
      </c>
      <c r="D37" s="65">
        <v>106.8</v>
      </c>
      <c r="E37" s="65">
        <v>107.5</v>
      </c>
    </row>
    <row r="38" spans="1:5" ht="15" customHeight="1" x14ac:dyDescent="0.35">
      <c r="A38" s="63">
        <v>2016</v>
      </c>
      <c r="B38" s="65">
        <v>108</v>
      </c>
      <c r="C38" s="65">
        <v>108.4</v>
      </c>
      <c r="D38" s="65">
        <v>108.2</v>
      </c>
      <c r="E38" s="65">
        <v>108.6</v>
      </c>
    </row>
    <row r="39" spans="1:5" ht="15" customHeight="1" x14ac:dyDescent="0.35">
      <c r="A39" s="63">
        <v>2017</v>
      </c>
      <c r="B39" s="65">
        <v>109.4</v>
      </c>
      <c r="C39" s="65">
        <v>110</v>
      </c>
      <c r="D39" s="65">
        <v>110.5</v>
      </c>
      <c r="E39" s="65">
        <v>110.7</v>
      </c>
    </row>
    <row r="40" spans="1:5" ht="15" customHeight="1" x14ac:dyDescent="0.35">
      <c r="A40" s="63">
        <v>2018</v>
      </c>
      <c r="B40" s="65">
        <v>111.4</v>
      </c>
      <c r="C40" s="65">
        <v>112.1</v>
      </c>
      <c r="D40" s="65">
        <v>112.6</v>
      </c>
      <c r="E40" s="65">
        <v>113</v>
      </c>
    </row>
    <row r="41" spans="1:5" ht="15" customHeight="1" x14ac:dyDescent="0.35">
      <c r="A41" s="63">
        <v>2019</v>
      </c>
      <c r="B41" s="65">
        <v>113.5</v>
      </c>
      <c r="C41" s="65">
        <v>114.1</v>
      </c>
      <c r="D41" s="65">
        <v>114.1</v>
      </c>
      <c r="E41" s="65">
        <v>114.8</v>
      </c>
    </row>
    <row r="42" spans="1:5" ht="15" customHeight="1" x14ac:dyDescent="0.35">
      <c r="A42" s="63">
        <v>2020</v>
      </c>
      <c r="B42" s="65">
        <v>115.4</v>
      </c>
      <c r="C42" s="65">
        <v>116.2</v>
      </c>
      <c r="D42" s="65">
        <v>116.6</v>
      </c>
      <c r="E42" s="65">
        <v>114.4</v>
      </c>
    </row>
    <row r="43" spans="1:5" ht="15" customHeight="1" x14ac:dyDescent="0.35">
      <c r="A43" s="63">
        <v>2021</v>
      </c>
      <c r="B43" s="65">
        <v>116.2</v>
      </c>
      <c r="C43" s="65">
        <v>117.2</v>
      </c>
      <c r="D43" s="65">
        <v>117.9</v>
      </c>
      <c r="E43" s="65">
        <v>118.8</v>
      </c>
    </row>
    <row r="44" spans="1:5" ht="15" customHeight="1" x14ac:dyDescent="0.35">
      <c r="A44" s="63">
        <v>2022</v>
      </c>
      <c r="B44" s="65">
        <v>119.7</v>
      </c>
      <c r="C44" s="65">
        <v>121.3</v>
      </c>
      <c r="D44" s="65">
        <v>123.9</v>
      </c>
      <c r="E44" s="65">
        <v>126.1</v>
      </c>
    </row>
    <row r="45" spans="1:5" ht="15" customHeight="1" x14ac:dyDescent="0.35">
      <c r="A45" s="63">
        <v>2023</v>
      </c>
      <c r="B45" s="65">
        <v>128.4</v>
      </c>
      <c r="C45" s="65">
        <v>130.80000000000001</v>
      </c>
      <c r="D45" s="65">
        <v>132.6</v>
      </c>
      <c r="E45" s="65">
        <v>133.69999999999999</v>
      </c>
    </row>
    <row r="46" spans="1:5" ht="15" customHeight="1" x14ac:dyDescent="0.35">
      <c r="A46" s="63">
        <v>2024</v>
      </c>
      <c r="B46" s="65">
        <v>135.30000000000001</v>
      </c>
      <c r="C46" s="65">
        <v>136.1</v>
      </c>
      <c r="D46" s="65">
        <v>137.4</v>
      </c>
      <c r="E46" s="65">
        <v>138.80000000000001</v>
      </c>
    </row>
    <row r="47" spans="1:5" ht="15" customHeight="1" x14ac:dyDescent="0.35">
      <c r="A47" s="63">
        <v>2025</v>
      </c>
      <c r="B47" s="65">
        <v>140.69999999999999</v>
      </c>
      <c r="C47" s="65">
        <v>141.69999999999999</v>
      </c>
      <c r="D47" s="65">
        <v>143.6</v>
      </c>
      <c r="E47" s="64"/>
    </row>
    <row r="48" spans="1:5" ht="15" customHeight="1" x14ac:dyDescent="0.35">
      <c r="A48" s="66">
        <v>2026</v>
      </c>
      <c r="B48" s="67"/>
      <c r="C48" s="67"/>
      <c r="D48" s="67"/>
      <c r="E48" s="67"/>
    </row>
    <row r="49" spans="1:5" ht="15" customHeight="1" x14ac:dyDescent="0.35">
      <c r="A49" s="66">
        <v>2027</v>
      </c>
      <c r="B49" s="67"/>
      <c r="C49" s="67"/>
      <c r="D49" s="67"/>
      <c r="E49" s="67"/>
    </row>
    <row r="50" spans="1:5" ht="15" customHeight="1" x14ac:dyDescent="0.35">
      <c r="A50" s="66">
        <v>2028</v>
      </c>
      <c r="B50" s="67"/>
      <c r="C50" s="67"/>
      <c r="D50" s="67"/>
      <c r="E50" s="67"/>
    </row>
    <row r="51" spans="1:5" ht="15" customHeight="1" x14ac:dyDescent="0.35">
      <c r="A51" s="66">
        <v>2029</v>
      </c>
      <c r="B51" s="67"/>
      <c r="C51" s="67"/>
      <c r="D51" s="67"/>
      <c r="E51" s="67"/>
    </row>
    <row r="52" spans="1:5" ht="15" customHeight="1" x14ac:dyDescent="0.35">
      <c r="A52" s="66">
        <v>2030</v>
      </c>
      <c r="B52" s="67"/>
      <c r="C52" s="67"/>
      <c r="D52" s="67"/>
      <c r="E52" s="67"/>
    </row>
    <row r="54" spans="1:5" ht="15" customHeight="1" x14ac:dyDescent="0.35">
      <c r="A54" s="63" t="s">
        <v>212</v>
      </c>
    </row>
    <row r="55" spans="1:5" ht="15" customHeight="1" x14ac:dyDescent="0.35">
      <c r="A55" s="17" t="s">
        <v>213</v>
      </c>
    </row>
    <row r="56" spans="1:5" ht="15" customHeight="1" x14ac:dyDescent="0.35">
      <c r="A56" s="17" t="s">
        <v>214</v>
      </c>
    </row>
    <row r="57" spans="1:5" ht="15" customHeight="1" x14ac:dyDescent="0.35">
      <c r="A57" s="17" t="s">
        <v>215</v>
      </c>
    </row>
    <row r="58" spans="1:5" ht="15" customHeight="1" x14ac:dyDescent="0.35">
      <c r="A58" s="17" t="s">
        <v>216</v>
      </c>
    </row>
  </sheetData>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G20"/>
  <sheetViews>
    <sheetView zoomScaleNormal="100" workbookViewId="0">
      <selection activeCell="F37" sqref="F37"/>
    </sheetView>
  </sheetViews>
  <sheetFormatPr defaultColWidth="8.6328125" defaultRowHeight="14.5" x14ac:dyDescent="0.35"/>
  <cols>
    <col min="2" max="2" width="19.36328125" customWidth="1"/>
    <col min="3" max="3" width="13.6328125" customWidth="1"/>
    <col min="4" max="4" width="12.08984375" style="42" customWidth="1"/>
    <col min="5" max="5" width="13.90625" customWidth="1"/>
    <col min="6" max="6" width="10.6328125" customWidth="1"/>
  </cols>
  <sheetData>
    <row r="2" spans="2:7" ht="18" customHeight="1" x14ac:dyDescent="0.45">
      <c r="B2" s="68" t="s">
        <v>217</v>
      </c>
    </row>
    <row r="3" spans="2:7" ht="18" customHeight="1" x14ac:dyDescent="0.45">
      <c r="B3" s="68"/>
    </row>
    <row r="4" spans="2:7" ht="14.25" customHeight="1" x14ac:dyDescent="0.35">
      <c r="C4" s="113" t="s">
        <v>218</v>
      </c>
      <c r="D4" s="113"/>
      <c r="E4" s="114" t="s">
        <v>219</v>
      </c>
      <c r="F4" s="114"/>
    </row>
    <row r="5" spans="2:7" ht="14.25" customHeight="1" x14ac:dyDescent="0.35">
      <c r="B5" s="69" t="s">
        <v>6</v>
      </c>
      <c r="C5" s="70" t="s">
        <v>168</v>
      </c>
      <c r="D5" s="71" t="s">
        <v>220</v>
      </c>
      <c r="E5" s="72" t="s">
        <v>168</v>
      </c>
      <c r="F5" s="72" t="s">
        <v>220</v>
      </c>
    </row>
    <row r="6" spans="2:7" ht="14.25" customHeight="1" x14ac:dyDescent="0.35">
      <c r="B6" s="73" t="s">
        <v>10</v>
      </c>
      <c r="C6" s="74">
        <v>0</v>
      </c>
      <c r="D6" s="75">
        <v>0</v>
      </c>
      <c r="E6" s="74">
        <v>0</v>
      </c>
      <c r="F6" s="75">
        <v>0</v>
      </c>
    </row>
    <row r="7" spans="2:7" ht="14.25" customHeight="1" x14ac:dyDescent="0.35">
      <c r="B7" s="73" t="s">
        <v>15</v>
      </c>
      <c r="C7" s="74">
        <v>0.16</v>
      </c>
      <c r="D7" s="75">
        <f>C7*(45000-18200)</f>
        <v>4288</v>
      </c>
      <c r="E7" s="74">
        <v>0.15</v>
      </c>
      <c r="F7" s="75">
        <f>E7*(45000-18200)</f>
        <v>4020</v>
      </c>
    </row>
    <row r="8" spans="2:7" ht="14.25" customHeight="1" x14ac:dyDescent="0.35">
      <c r="B8" s="73" t="s">
        <v>19</v>
      </c>
      <c r="C8" s="74">
        <v>0.3</v>
      </c>
      <c r="D8" s="75">
        <f>C8*(135000-45000)</f>
        <v>27000</v>
      </c>
      <c r="E8" s="74">
        <v>0.3</v>
      </c>
      <c r="F8" s="75">
        <f>E8*(135000-45000)</f>
        <v>27000</v>
      </c>
    </row>
    <row r="9" spans="2:7" ht="14.25" customHeight="1" x14ac:dyDescent="0.35">
      <c r="B9" s="73" t="s">
        <v>24</v>
      </c>
      <c r="C9" s="74">
        <v>0.37</v>
      </c>
      <c r="D9" s="75">
        <f>C9*(190000-135000)</f>
        <v>20350</v>
      </c>
      <c r="E9" s="74">
        <v>0.37</v>
      </c>
      <c r="F9" s="75">
        <f>E9*(190000-135000)</f>
        <v>20350</v>
      </c>
    </row>
    <row r="10" spans="2:7" ht="14.25" customHeight="1" x14ac:dyDescent="0.35">
      <c r="B10" s="73" t="s">
        <v>27</v>
      </c>
      <c r="C10" s="74">
        <v>0.45</v>
      </c>
      <c r="D10" s="75"/>
      <c r="E10" s="74">
        <v>0.45</v>
      </c>
      <c r="F10" s="75"/>
    </row>
    <row r="12" spans="2:7" ht="14.25" customHeight="1" x14ac:dyDescent="0.35">
      <c r="B12" s="115" t="s">
        <v>221</v>
      </c>
      <c r="C12" s="115"/>
      <c r="D12" s="115"/>
      <c r="E12" s="115"/>
      <c r="F12" s="115"/>
    </row>
    <row r="13" spans="2:7" ht="14.25" customHeight="1" x14ac:dyDescent="0.35">
      <c r="B13" s="76" t="s">
        <v>222</v>
      </c>
      <c r="C13" s="75">
        <v>30000</v>
      </c>
      <c r="D13" s="75"/>
      <c r="E13" s="75">
        <v>49245</v>
      </c>
      <c r="F13" s="42"/>
    </row>
    <row r="14" spans="2:7" ht="14.25" customHeight="1" x14ac:dyDescent="0.35">
      <c r="B14" s="77" t="s">
        <v>223</v>
      </c>
      <c r="C14" s="75">
        <f>IF(C13&lt;=0,0,IF(C13&lt;=18200,0,IF(C13&lt;=45000,(C13-18200)*0.16,IF(C13&lt;=135000,4288+(C13-45000)*0.3,IF(C13&lt;=190000,31288+(C13-135000)*0.37,51688+(C13-190000)*0.45)))))</f>
        <v>1888</v>
      </c>
      <c r="D14" s="77"/>
      <c r="E14" s="75">
        <f>IF(E13&lt;=0,0,IF(E13&lt;=18200,0,IF(E13&lt;=45000,(E13-18200)*0.15,IF(E13&lt;=135000,4020+(E13-45000)*0.3,IF(E13&lt;=190000,31020+(E13-135000)*0.37,51370+(E13-190000)*0.45)))))</f>
        <v>5293.5</v>
      </c>
      <c r="F14" s="78"/>
      <c r="G14" s="79"/>
    </row>
    <row r="15" spans="2:7" ht="14.25" customHeight="1" x14ac:dyDescent="0.35">
      <c r="B15" s="73"/>
      <c r="C15" s="80">
        <f>C14/C13</f>
        <v>6.2933333333333327E-2</v>
      </c>
      <c r="D15" s="73"/>
      <c r="E15" s="80">
        <f>E14/E13</f>
        <v>0.10749314651233628</v>
      </c>
      <c r="F15" s="75"/>
      <c r="G15" s="73"/>
    </row>
    <row r="16" spans="2:7" ht="14.25" customHeight="1" x14ac:dyDescent="0.35">
      <c r="B16" s="73"/>
      <c r="C16" s="73"/>
      <c r="D16" s="75"/>
      <c r="E16" s="73"/>
    </row>
    <row r="17" spans="2:6" ht="14.25" customHeight="1" x14ac:dyDescent="0.35">
      <c r="B17" s="81" t="s">
        <v>224</v>
      </c>
      <c r="C17" s="82"/>
      <c r="D17" s="83"/>
      <c r="E17" s="82"/>
      <c r="F17" s="45"/>
    </row>
    <row r="18" spans="2:6" ht="14.25" customHeight="1" x14ac:dyDescent="0.35">
      <c r="B18" s="73"/>
      <c r="C18" s="84">
        <f>D6+D7+((C13-45000)*C8)</f>
        <v>-212</v>
      </c>
      <c r="D18" s="75"/>
      <c r="E18" s="84">
        <f>F6+F7+((E13-45000)*E8)</f>
        <v>5293.5</v>
      </c>
    </row>
    <row r="19" spans="2:6" ht="14.25" customHeight="1" x14ac:dyDescent="0.35">
      <c r="B19" s="73"/>
      <c r="C19" s="80">
        <f>C18/C13</f>
        <v>-7.0666666666666664E-3</v>
      </c>
      <c r="D19" s="75"/>
      <c r="E19" s="80">
        <f>E18/E13</f>
        <v>0.10749314651233628</v>
      </c>
    </row>
    <row r="20" spans="2:6" ht="14.25" customHeight="1" x14ac:dyDescent="0.35">
      <c r="C20" s="73"/>
      <c r="D20" s="75"/>
      <c r="E20" s="73"/>
    </row>
  </sheetData>
  <mergeCells count="3">
    <mergeCell ref="C4:D4"/>
    <mergeCell ref="E4:F4"/>
    <mergeCell ref="B12:F12"/>
  </mergeCells>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90"/>
  <sheetViews>
    <sheetView showGridLines="0" topLeftCell="A19" zoomScaleNormal="100" workbookViewId="0">
      <selection activeCell="B34" sqref="B34"/>
    </sheetView>
  </sheetViews>
  <sheetFormatPr defaultColWidth="8.6328125" defaultRowHeight="14.5" x14ac:dyDescent="0.35"/>
  <cols>
    <col min="1" max="1" width="28" customWidth="1"/>
    <col min="2" max="2" width="18" customWidth="1"/>
    <col min="3" max="3" width="48" customWidth="1"/>
    <col min="4" max="5" width="18" customWidth="1"/>
  </cols>
  <sheetData>
    <row r="1" spans="1:5" ht="33.75" customHeight="1" x14ac:dyDescent="0.35">
      <c r="A1" s="109" t="s">
        <v>225</v>
      </c>
      <c r="B1" s="109"/>
      <c r="C1" s="109"/>
      <c r="D1" s="109"/>
      <c r="E1" s="109"/>
    </row>
    <row r="2" spans="1:5" ht="18" customHeight="1" x14ac:dyDescent="0.35">
      <c r="A2" s="116" t="s">
        <v>297</v>
      </c>
      <c r="B2" s="116"/>
      <c r="C2" s="116"/>
      <c r="D2" s="116"/>
      <c r="E2" s="116"/>
    </row>
    <row r="3" spans="1:5" ht="30" customHeight="1" x14ac:dyDescent="0.35">
      <c r="A3" s="22" t="s">
        <v>226</v>
      </c>
      <c r="B3" s="22" t="s">
        <v>227</v>
      </c>
      <c r="C3" s="22" t="s">
        <v>228</v>
      </c>
      <c r="D3" s="22" t="s">
        <v>229</v>
      </c>
      <c r="E3" s="22" t="s">
        <v>230</v>
      </c>
    </row>
    <row r="4" spans="1:5" ht="19.5" customHeight="1" x14ac:dyDescent="0.35">
      <c r="A4" s="111" t="s">
        <v>231</v>
      </c>
      <c r="B4" s="111"/>
      <c r="C4" s="111"/>
      <c r="D4" s="111"/>
      <c r="E4" s="111"/>
    </row>
    <row r="5" spans="1:5" ht="114.75" customHeight="1" x14ac:dyDescent="0.35">
      <c r="A5" s="85" t="s">
        <v>232</v>
      </c>
      <c r="B5" s="86" t="s">
        <v>233</v>
      </c>
      <c r="C5" s="86" t="s">
        <v>234</v>
      </c>
      <c r="D5" s="86" t="s">
        <v>235</v>
      </c>
      <c r="E5" s="86" t="s">
        <v>236</v>
      </c>
    </row>
    <row r="6" spans="1:5" ht="126" customHeight="1" x14ac:dyDescent="0.35">
      <c r="A6" s="87" t="s">
        <v>237</v>
      </c>
      <c r="B6" s="88" t="s">
        <v>238</v>
      </c>
      <c r="C6" s="88" t="s">
        <v>239</v>
      </c>
      <c r="D6" s="88" t="s">
        <v>235</v>
      </c>
      <c r="E6" s="88" t="s">
        <v>236</v>
      </c>
    </row>
    <row r="7" spans="1:5" ht="19.5" customHeight="1" x14ac:dyDescent="0.35">
      <c r="A7" s="111" t="s">
        <v>240</v>
      </c>
      <c r="B7" s="111"/>
      <c r="C7" s="111"/>
      <c r="D7" s="111"/>
      <c r="E7" s="111"/>
    </row>
    <row r="8" spans="1:5" ht="42" customHeight="1" x14ac:dyDescent="0.35">
      <c r="A8" s="85" t="s">
        <v>45</v>
      </c>
      <c r="B8" s="86" t="s">
        <v>241</v>
      </c>
      <c r="C8" s="86" t="s">
        <v>242</v>
      </c>
      <c r="D8" s="86" t="s">
        <v>243</v>
      </c>
      <c r="E8" s="86" t="s">
        <v>236</v>
      </c>
    </row>
    <row r="9" spans="1:5" ht="42" customHeight="1" x14ac:dyDescent="0.35">
      <c r="A9" s="87" t="s">
        <v>244</v>
      </c>
      <c r="B9" s="88" t="s">
        <v>245</v>
      </c>
      <c r="C9" s="88" t="s">
        <v>246</v>
      </c>
      <c r="D9" s="88" t="s">
        <v>247</v>
      </c>
      <c r="E9" s="88" t="s">
        <v>236</v>
      </c>
    </row>
    <row r="10" spans="1:5" ht="42" customHeight="1" x14ac:dyDescent="0.35">
      <c r="A10" s="85" t="s">
        <v>248</v>
      </c>
      <c r="B10" s="86" t="s">
        <v>249</v>
      </c>
      <c r="C10" s="86" t="s">
        <v>250</v>
      </c>
      <c r="D10" s="86" t="s">
        <v>247</v>
      </c>
      <c r="E10" s="86" t="s">
        <v>251</v>
      </c>
    </row>
    <row r="11" spans="1:5" ht="42" customHeight="1" x14ac:dyDescent="0.35">
      <c r="A11" s="87" t="s">
        <v>252</v>
      </c>
      <c r="B11" s="88" t="s">
        <v>253</v>
      </c>
      <c r="C11" s="88" t="s">
        <v>254</v>
      </c>
      <c r="D11" s="88" t="s">
        <v>247</v>
      </c>
      <c r="E11" s="88" t="s">
        <v>236</v>
      </c>
    </row>
    <row r="12" spans="1:5" ht="19.5" customHeight="1" x14ac:dyDescent="0.35">
      <c r="A12" s="111" t="s">
        <v>255</v>
      </c>
      <c r="B12" s="111"/>
      <c r="C12" s="111"/>
      <c r="D12" s="111"/>
      <c r="E12" s="111"/>
    </row>
    <row r="13" spans="1:5" ht="50.5" customHeight="1" x14ac:dyDescent="0.35">
      <c r="A13" s="85" t="s">
        <v>256</v>
      </c>
      <c r="B13" s="86" t="s">
        <v>257</v>
      </c>
      <c r="C13" s="86" t="s">
        <v>258</v>
      </c>
      <c r="D13" s="86" t="s">
        <v>235</v>
      </c>
      <c r="E13" s="86" t="s">
        <v>236</v>
      </c>
    </row>
    <row r="14" spans="1:5" ht="42" customHeight="1" x14ac:dyDescent="0.35">
      <c r="A14" s="92" t="s">
        <v>259</v>
      </c>
      <c r="B14" s="93" t="s">
        <v>260</v>
      </c>
      <c r="C14" s="93" t="s">
        <v>261</v>
      </c>
      <c r="D14" s="93" t="s">
        <v>247</v>
      </c>
      <c r="E14" s="93" t="s">
        <v>236</v>
      </c>
    </row>
    <row r="15" spans="1:5" ht="19.5" customHeight="1" x14ac:dyDescent="0.35">
      <c r="A15" s="119" t="s">
        <v>262</v>
      </c>
      <c r="B15" s="119"/>
      <c r="C15" s="119"/>
      <c r="D15" s="119"/>
      <c r="E15" s="119"/>
    </row>
    <row r="16" spans="1:5" ht="19.5" customHeight="1" x14ac:dyDescent="0.35">
      <c r="A16" s="111" t="s">
        <v>263</v>
      </c>
      <c r="B16" s="111"/>
      <c r="C16" s="111"/>
      <c r="D16" s="111"/>
      <c r="E16" s="111"/>
    </row>
    <row r="17" spans="1:5" ht="42" customHeight="1" x14ac:dyDescent="0.35">
      <c r="A17" s="85" t="s">
        <v>264</v>
      </c>
      <c r="B17" s="86" t="s">
        <v>265</v>
      </c>
      <c r="C17" s="86" t="s">
        <v>266</v>
      </c>
      <c r="D17" s="86" t="s">
        <v>267</v>
      </c>
      <c r="E17" s="86" t="s">
        <v>268</v>
      </c>
    </row>
    <row r="18" spans="1:5" ht="42" customHeight="1" x14ac:dyDescent="0.35">
      <c r="A18" s="87" t="s">
        <v>269</v>
      </c>
      <c r="B18" s="88" t="s">
        <v>270</v>
      </c>
      <c r="C18" s="88" t="s">
        <v>271</v>
      </c>
      <c r="D18" s="88" t="s">
        <v>247</v>
      </c>
      <c r="E18" s="88" t="s">
        <v>251</v>
      </c>
    </row>
    <row r="19" spans="1:5" ht="42" customHeight="1" x14ac:dyDescent="0.35">
      <c r="A19" s="85" t="s">
        <v>272</v>
      </c>
      <c r="B19" s="86" t="s">
        <v>265</v>
      </c>
      <c r="C19" s="86" t="s">
        <v>273</v>
      </c>
      <c r="D19" s="86" t="s">
        <v>274</v>
      </c>
      <c r="E19" s="86" t="s">
        <v>236</v>
      </c>
    </row>
    <row r="20" spans="1:5" ht="19.5" customHeight="1" x14ac:dyDescent="0.35">
      <c r="A20" s="119" t="s">
        <v>275</v>
      </c>
      <c r="B20" s="119"/>
      <c r="C20" s="119"/>
      <c r="D20" s="119"/>
      <c r="E20" s="119"/>
    </row>
    <row r="21" spans="1:5" ht="24.75" customHeight="1" x14ac:dyDescent="0.35">
      <c r="A21" s="111" t="s">
        <v>276</v>
      </c>
      <c r="B21" s="111"/>
      <c r="C21" s="111"/>
      <c r="D21" s="111"/>
      <c r="E21" s="111"/>
    </row>
    <row r="22" spans="1:5" ht="49.5" customHeight="1" x14ac:dyDescent="0.35">
      <c r="A22" s="85" t="s">
        <v>277</v>
      </c>
      <c r="B22" s="86" t="s">
        <v>278</v>
      </c>
      <c r="C22" s="86" t="s">
        <v>279</v>
      </c>
      <c r="D22" s="86" t="s">
        <v>280</v>
      </c>
      <c r="E22" s="86" t="s">
        <v>281</v>
      </c>
    </row>
    <row r="23" spans="1:5" ht="73.5" customHeight="1" x14ac:dyDescent="0.35">
      <c r="A23" s="87" t="s">
        <v>282</v>
      </c>
      <c r="B23" s="88" t="s">
        <v>283</v>
      </c>
      <c r="C23" s="88" t="s">
        <v>284</v>
      </c>
      <c r="D23" s="88" t="s">
        <v>235</v>
      </c>
      <c r="E23" s="88" t="s">
        <v>236</v>
      </c>
    </row>
    <row r="24" spans="1:5" ht="19.5" customHeight="1" x14ac:dyDescent="0.35">
      <c r="A24" s="120" t="s">
        <v>285</v>
      </c>
      <c r="B24" s="120"/>
      <c r="C24" s="120"/>
      <c r="D24" s="120"/>
      <c r="E24" s="120"/>
    </row>
    <row r="25" spans="1:5" ht="21.75" customHeight="1" x14ac:dyDescent="0.35">
      <c r="A25" s="111" t="s">
        <v>286</v>
      </c>
      <c r="B25" s="111"/>
      <c r="C25" s="111"/>
      <c r="D25" s="111"/>
      <c r="E25" s="111"/>
    </row>
    <row r="26" spans="1:5" ht="42" customHeight="1" x14ac:dyDescent="0.35">
      <c r="A26" s="87" t="s">
        <v>287</v>
      </c>
      <c r="B26" s="88" t="s">
        <v>288</v>
      </c>
      <c r="C26" s="88" t="s">
        <v>289</v>
      </c>
      <c r="D26" s="88" t="s">
        <v>247</v>
      </c>
      <c r="E26" s="88" t="s">
        <v>251</v>
      </c>
    </row>
    <row r="27" spans="1:5" ht="42" customHeight="1" x14ac:dyDescent="0.35">
      <c r="A27" s="85" t="s">
        <v>290</v>
      </c>
      <c r="B27" s="86" t="s">
        <v>291</v>
      </c>
      <c r="C27" s="86" t="s">
        <v>292</v>
      </c>
      <c r="D27" s="86" t="s">
        <v>247</v>
      </c>
      <c r="E27" s="86" t="s">
        <v>236</v>
      </c>
    </row>
    <row r="28" spans="1:5" ht="22.5" customHeight="1" x14ac:dyDescent="0.35">
      <c r="A28" s="87" t="s">
        <v>293</v>
      </c>
      <c r="B28" s="88" t="s">
        <v>294</v>
      </c>
      <c r="C28" s="88" t="s">
        <v>295</v>
      </c>
      <c r="D28" s="88" t="s">
        <v>247</v>
      </c>
      <c r="E28" s="88" t="s">
        <v>236</v>
      </c>
    </row>
    <row r="29" spans="1:5" ht="19.5" customHeight="1" x14ac:dyDescent="0.35">
      <c r="A29" s="117"/>
      <c r="B29" s="117"/>
      <c r="C29" s="117"/>
      <c r="D29" s="117"/>
      <c r="E29" s="117"/>
    </row>
    <row r="30" spans="1:5" ht="31.5" customHeight="1" x14ac:dyDescent="0.35">
      <c r="A30" s="118" t="s">
        <v>296</v>
      </c>
      <c r="B30" s="118"/>
      <c r="C30" s="118"/>
      <c r="D30" s="118"/>
      <c r="E30" s="118"/>
    </row>
    <row r="31" spans="1:5" ht="18" customHeight="1" x14ac:dyDescent="0.35"/>
    <row r="32" spans="1:5" ht="18" customHeight="1" x14ac:dyDescent="0.35"/>
    <row r="33" ht="18" customHeight="1" x14ac:dyDescent="0.35"/>
    <row r="34" ht="18" customHeight="1" x14ac:dyDescent="0.35"/>
    <row r="35" ht="18" customHeight="1" x14ac:dyDescent="0.35"/>
    <row r="36" ht="18" customHeight="1" x14ac:dyDescent="0.35"/>
    <row r="37" ht="18" customHeight="1" x14ac:dyDescent="0.35"/>
    <row r="38" ht="18" customHeight="1" x14ac:dyDescent="0.35"/>
    <row r="39" ht="18" customHeight="1" x14ac:dyDescent="0.35"/>
    <row r="40" ht="18" customHeight="1" x14ac:dyDescent="0.35"/>
    <row r="41" ht="18" customHeight="1" x14ac:dyDescent="0.35"/>
    <row r="42" ht="18" customHeight="1" x14ac:dyDescent="0.35"/>
    <row r="43" ht="18" customHeight="1" x14ac:dyDescent="0.35"/>
    <row r="44" ht="18" customHeight="1" x14ac:dyDescent="0.35"/>
    <row r="45" ht="18" customHeight="1" x14ac:dyDescent="0.35"/>
    <row r="46" ht="18" customHeight="1" x14ac:dyDescent="0.35"/>
    <row r="47" ht="18" customHeight="1" x14ac:dyDescent="0.35"/>
    <row r="48" ht="18" customHeight="1" x14ac:dyDescent="0.35"/>
    <row r="49" ht="18" customHeight="1" x14ac:dyDescent="0.35"/>
    <row r="50" ht="18" customHeight="1" x14ac:dyDescent="0.35"/>
    <row r="51" ht="18" customHeight="1" x14ac:dyDescent="0.35"/>
    <row r="52" ht="18" customHeight="1" x14ac:dyDescent="0.35"/>
    <row r="53" ht="18" customHeight="1" x14ac:dyDescent="0.35"/>
    <row r="54" ht="18" customHeight="1" x14ac:dyDescent="0.35"/>
    <row r="55" ht="18" customHeight="1" x14ac:dyDescent="0.35"/>
    <row r="56" ht="18" customHeight="1" x14ac:dyDescent="0.35"/>
    <row r="57" ht="18" customHeight="1" x14ac:dyDescent="0.35"/>
    <row r="58" ht="18" customHeight="1" x14ac:dyDescent="0.35"/>
    <row r="59" ht="18" customHeight="1" x14ac:dyDescent="0.35"/>
    <row r="60" ht="18" customHeight="1" x14ac:dyDescent="0.35"/>
    <row r="61" ht="18" customHeight="1" x14ac:dyDescent="0.35"/>
    <row r="62" ht="18" customHeight="1" x14ac:dyDescent="0.35"/>
    <row r="63" ht="18" customHeight="1" x14ac:dyDescent="0.35"/>
    <row r="64" ht="18" customHeight="1" x14ac:dyDescent="0.35"/>
    <row r="65" ht="18" customHeight="1" x14ac:dyDescent="0.35"/>
    <row r="66" ht="18" customHeight="1" x14ac:dyDescent="0.35"/>
    <row r="67" ht="18" customHeight="1" x14ac:dyDescent="0.35"/>
    <row r="68" ht="18" customHeight="1" x14ac:dyDescent="0.35"/>
    <row r="69" ht="18" customHeight="1" x14ac:dyDescent="0.35"/>
    <row r="70" ht="18" customHeight="1" x14ac:dyDescent="0.35"/>
    <row r="71" ht="18" customHeight="1" x14ac:dyDescent="0.35"/>
    <row r="72" ht="18" customHeight="1" x14ac:dyDescent="0.35"/>
    <row r="73" ht="18" customHeight="1" x14ac:dyDescent="0.35"/>
    <row r="74" ht="18" customHeight="1" x14ac:dyDescent="0.35"/>
    <row r="75" ht="18" customHeight="1" x14ac:dyDescent="0.35"/>
    <row r="76" ht="18" customHeight="1" x14ac:dyDescent="0.35"/>
    <row r="77" ht="18" customHeight="1" x14ac:dyDescent="0.35"/>
    <row r="78" ht="18" customHeight="1" x14ac:dyDescent="0.35"/>
    <row r="79" ht="18" customHeight="1" x14ac:dyDescent="0.35"/>
    <row r="80" ht="18" customHeight="1" x14ac:dyDescent="0.35"/>
    <row r="81" ht="18" customHeight="1" x14ac:dyDescent="0.35"/>
    <row r="82" ht="18" customHeight="1" x14ac:dyDescent="0.35"/>
    <row r="83" ht="18" customHeight="1" x14ac:dyDescent="0.35"/>
    <row r="84" ht="18" customHeight="1" x14ac:dyDescent="0.35"/>
    <row r="85" ht="18" customHeight="1" x14ac:dyDescent="0.35"/>
    <row r="86" ht="18" customHeight="1" x14ac:dyDescent="0.35"/>
    <row r="87" ht="18" customHeight="1" x14ac:dyDescent="0.35"/>
    <row r="88" ht="18" customHeight="1" x14ac:dyDescent="0.35"/>
    <row r="89" ht="18" customHeight="1" x14ac:dyDescent="0.35"/>
    <row r="90" ht="18" customHeight="1" x14ac:dyDescent="0.35"/>
  </sheetData>
  <mergeCells count="13">
    <mergeCell ref="A25:E25"/>
    <mergeCell ref="A29:E29"/>
    <mergeCell ref="A30:E30"/>
    <mergeCell ref="A15:E15"/>
    <mergeCell ref="A16:E16"/>
    <mergeCell ref="A20:E20"/>
    <mergeCell ref="A21:E21"/>
    <mergeCell ref="A24:E24"/>
    <mergeCell ref="A1:E1"/>
    <mergeCell ref="A2:E2"/>
    <mergeCell ref="A4:E4"/>
    <mergeCell ref="A7:E7"/>
    <mergeCell ref="A12:E12"/>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Inputs</vt:lpstr>
      <vt:lpstr>Calculations</vt:lpstr>
      <vt:lpstr>Comparison Summary</vt:lpstr>
      <vt:lpstr>CPI Table</vt:lpstr>
      <vt:lpstr>Tax Brackets</vt:lpstr>
      <vt:lpstr>Optimisation Strategies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Eric Moysaenko</cp:lastModifiedBy>
  <cp:revision>0</cp:revision>
  <dcterms:created xsi:type="dcterms:W3CDTF">2026-05-13T00:56:20Z</dcterms:created>
  <dcterms:modified xsi:type="dcterms:W3CDTF">2026-05-15T04:37:51Z</dcterms:modified>
  <dc:language>en-US</dc:language>
</cp:coreProperties>
</file>